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tzyAC0Cx20QVXdCb/NxW3KsAxndEzA+tnL8VFdUnSL2MK1Oz3XtxYrLRjzfrlT4d46zu3+5AbyOBlgWsCT2mwA==" workbookSaltValue="qYKeKyiiIMEoBE8mfJxV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AX32" i="20"/>
  <c r="L32" i="20"/>
  <c r="H32" i="20"/>
  <c r="T32" i="21"/>
  <c r="G26" i="14"/>
  <c r="S32" i="20"/>
  <c r="AQ32" i="21"/>
  <c r="AJ32" i="20"/>
  <c r="G30" i="14"/>
  <c r="U18" i="11"/>
  <c r="Y32" i="20"/>
  <c r="AG32" i="20"/>
  <c r="F32" i="20"/>
  <c r="AF32" i="20"/>
  <c r="K32" i="20"/>
  <c r="O17" i="11"/>
  <c r="BF16" i="8" l="1"/>
  <c r="F16" i="11"/>
  <c r="AQ16" i="11" s="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BH25" i="11"/>
  <c r="BK10" i="11"/>
  <c r="BI21" i="11"/>
  <c r="L10" i="2"/>
  <c r="L28" i="2"/>
  <c r="L16" i="2"/>
  <c r="L17" i="2"/>
  <c r="X16" i="16"/>
  <c r="X23" i="16" s="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O25" i="17"/>
  <c r="X21" i="20"/>
  <c r="L18" i="2"/>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<sst xmlns="http://schemas.openxmlformats.org/spreadsheetml/2006/main" count="2649" uniqueCount="1184">
  <si>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</si>
  <si>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</si>
  <si>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</si>
  <si>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</si>
  <si>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</si>
  <si>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</si>
  <si>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</si>
  <si>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</si>
  <si>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</si>
  <si>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</si>
  <si>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</si>
  <si>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</si>
  <si>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</si>
  <si>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</si>
  <si>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</si>
  <si>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</si>
  <si>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</si>
  <si>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</si>
  <si>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</si>
  <si>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</si>
  <si>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</si>
  <si>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</si>
  <si>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</si>
  <si>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</si>
  <si>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</si>
  <si>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</si>
  <si>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</si>
  <si>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</si>
  <si>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</si>
  <si>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</si>
  <si>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</si>
  <si>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</si>
  <si>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</si>
  <si>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</si>
  <si>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</si>
  <si>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</si>
  <si>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</si>
  <si>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</si>
  <si>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</si>
  <si>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</si>
  <si>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</si>
  <si>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</si>
  <si>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</si>
  <si>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</si>
  <si>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</si>
  <si>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</si>
  <si>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</si>
  <si>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</si>
  <si>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</si>
  <si>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</si>
  <si>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</si>
  <si>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</si>
  <si>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</si>
  <si>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</si>
  <si>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</si>
  <si>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</si>
  <si>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</si>
  <si>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</si>
  <si>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</si>
  <si>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</si>
  <si>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</si>
  <si>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</si>
  <si>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</si>
  <si>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</si>
  <si>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</si>
  <si>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</si>
  <si>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</si>
  <si>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</si>
  <si>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</si>
  <si>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</si>
  <si>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</si>
  <si>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</si>
  <si>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</si>
  <si>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</si>
  <si>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</si>
  <si>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</si>
  <si>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</si>
  <si>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</si>
  <si>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</si>
  <si>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</si>
  <si>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</si>
  <si>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</si>
  <si>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</si>
  <si>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</si>
  <si>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</si>
  <si>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</si>
  <si>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</si>
  <si>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</si>
  <si>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</si>
  <si>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</si>
  <si>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</si>
  <si>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</si>
  <si>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</si>
  <si>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</si>
  <si>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</si>
  <si>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</si>
  <si>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</si>
  <si>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</si>
  <si>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</si>
  <si>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</si>
  <si>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</si>
  <si>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</si>
  <si>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</si>
  <si>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</si>
  <si>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</si>
  <si>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</si>
  <si>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</si>
  <si>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</si>
  <si>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</si>
  <si>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</si>
  <si>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</si>
  <si>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</si>
  <si>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</si>
  <si>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</si>
  <si>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</si>
  <si>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</si>
  <si>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</si>
  <si>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</si>
  <si>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</si>
  <si>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</si>
  <si>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</si>
  <si>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</si>
  <si>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</si>
  <si>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</si>
  <si>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</si>
  <si>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</si>
  <si>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</si>
  <si>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</si>
  <si>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</si>
  <si>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</si>
  <si>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</si>
  <si>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</si>
  <si>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</si>
  <si>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</si>
  <si>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</si>
  <si>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</si>
  <si>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</si>
  <si>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</si>
  <si>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</si>
  <si>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</si>
  <si>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</si>
  <si>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</si>
  <si>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</si>
  <si>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</si>
  <si>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</si>
  <si>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</si>
  <si>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</si>
  <si>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</si>
  <si>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</si>
  <si>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</si>
  <si>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</si>
  <si>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</si>
  <si>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</si>
  <si>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</si>
  <si>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</si>
  <si>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</si>
  <si>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</si>
  <si>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</si>
  <si>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</si>
  <si>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</si>
  <si>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</si>
  <si>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</si>
  <si>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</si>
  <si>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</si>
  <si>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</si>
  <si>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</si>
  <si>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</si>
  <si>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</si>
  <si>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</si>
  <si>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</si>
  <si>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</si>
  <si>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</si>
  <si>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</si>
  <si>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</si>
  <si>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</si>
  <si>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</si>
  <si>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</si>
  <si>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</si>
  <si>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</si>
  <si>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</si>
  <si>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</si>
  <si>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</si>
  <si>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</si>
  <si>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</si>
  <si>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</si>
  <si>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</si>
  <si>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</si>
  <si>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</si>
  <si>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</si>
  <si>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</si>
  <si>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</si>
  <si>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</si>
  <si>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</si>
  <si>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</si>
  <si>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</si>
  <si>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</si>
  <si>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</si>
  <si>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</si>
  <si>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</si>
  <si>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</si>
  <si>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</si>
  <si>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</si>
  <si>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</si>
  <si>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</si>
  <si>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</si>
  <si>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</si>
  <si>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</si>
  <si>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</si>
  <si>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</si>
  <si>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</si>
  <si>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</si>
  <si>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</si>
  <si>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</si>
  <si>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</si>
  <si>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</si>
  <si>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</si>
  <si>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</si>
  <si>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</si>
  <si>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</si>
  <si>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</si>
  <si>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</si>
  <si>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</si>
  <si>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</si>
  <si>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</si>
  <si>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</si>
  <si>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</si>
  <si>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</si>
  <si>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</si>
  <si>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</si>
  <si>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</si>
  <si>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</si>
  <si>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</si>
  <si>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</si>
  <si>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</si>
  <si>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</si>
  <si>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</si>
  <si>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</si>
  <si>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</si>
  <si>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</si>
  <si>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</si>
  <si>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</si>
  <si>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</si>
  <si>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</si>
  <si>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</si>
  <si>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</si>
  <si>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</si>
  <si>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</si>
  <si>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</si>
  <si>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</si>
  <si>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</si>
  <si>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</si>
  <si>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</si>
  <si>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</si>
  <si>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</si>
  <si>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</si>
  <si>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</si>
  <si>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</si>
  <si>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</si>
  <si>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</si>
  <si>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</si>
  <si>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</si>
  <si>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</si>
  <si>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</si>
  <si>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</si>
  <si>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</si>
  <si>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</si>
  <si>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</si>
  <si>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</si>
  <si>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</si>
  <si>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</si>
  <si>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</si>
  <si>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</si>
  <si>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</si>
  <si>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</si>
  <si>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</si>
  <si>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</si>
  <si>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</si>
  <si>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</si>
  <si>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</si>
  <si>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</si>
  <si>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</si>
  <si>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</si>
  <si>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</si>
  <si>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</si>
  <si>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</si>
  <si>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</si>
  <si>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</si>
  <si>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</si>
  <si>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</si>
  <si>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</si>
  <si>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</si>
  <si>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</si>
  <si>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</si>
  <si>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</si>
  <si>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</si>
  <si>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</si>
  <si>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</si>
  <si>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</si>
  <si>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</si>
  <si>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</si>
  <si>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</si>
  <si>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</si>
  <si>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</si>
  <si>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</si>
  <si>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</si>
  <si>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</si>
  <si>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</si>
  <si>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</si>
  <si>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</si>
  <si>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</si>
  <si>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</si>
  <si>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</si>
  <si>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</si>
  <si>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</si>
  <si>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</si>
  <si>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</si>
  <si>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</si>
  <si>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</si>
  <si>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</si>
  <si>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</si>
  <si>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</si>
  <si>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</si>
  <si>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</si>
  <si>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</si>
  <si>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</si>
  <si>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</si>
  <si>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</si>
  <si>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</si>
  <si>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</si>
  <si>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</si>
  <si>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</si>
  <si>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</si>
  <si>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</si>
  <si>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</si>
  <si>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</si>
  <si>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</si>
  <si>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</si>
  <si>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</si>
  <si>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</si>
  <si>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</si>
  <si>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</si>
  <si>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</si>
  <si>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</si>
  <si>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</si>
  <si>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</si>
  <si>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</si>
  <si>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</si>
  <si>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</si>
  <si>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</si>
  <si>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</si>
  <si>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</si>
  <si>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</si>
  <si>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</si>
  <si>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</si>
  <si>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</si>
  <si>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</si>
  <si>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</si>
  <si>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</si>
  <si>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</si>
  <si>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</si>
  <si>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</si>
  <si>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</si>
  <si>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</si>
  <si>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</si>
  <si>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</si>
  <si>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</si>
  <si>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</si>
  <si>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</si>
  <si>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</si>
  <si>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</si>
  <si>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</si>
  <si>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</si>
  <si>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</si>
  <si>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</si>
  <si>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</si>
  <si>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</si>
  <si>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</si>
  <si>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</si>
  <si>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</si>
  <si>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</si>
  <si>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</si>
  <si>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</si>
  <si>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</si>
  <si>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</si>
  <si>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</si>
  <si>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</si>
  <si>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</si>
  <si>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</si>
  <si>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</si>
  <si>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</si>
  <si>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</si>
  <si>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</si>
  <si>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</si>
  <si>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</si>
  <si>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</si>
  <si>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</si>
  <si>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</si>
  <si>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</si>
  <si>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</si>
  <si>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</si>
  <si>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</si>
  <si>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</si>
  <si>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</si>
  <si>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</si>
  <si>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</si>
  <si>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</si>
  <si>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</si>
  <si>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</si>
  <si>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</si>
  <si>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</si>
  <si>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</si>
  <si>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</si>
  <si>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</si>
  <si>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</si>
  <si>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</si>
  <si>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</si>
  <si>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</si>
  <si>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</si>
  <si>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</si>
  <si>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</si>
  <si>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</si>
  <si>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</si>
  <si>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</si>
  <si>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</si>
  <si>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</si>
  <si>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</si>
  <si>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</si>
  <si>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</si>
  <si>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</si>
  <si>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</si>
  <si>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</si>
  <si>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</si>
  <si>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</si>
  <si>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</si>
  <si>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</si>
  <si>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</si>
  <si>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</si>
  <si>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</si>
  <si>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</si>
  <si>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</si>
  <si>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</si>
  <si>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</si>
  <si>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</si>
  <si>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</si>
  <si>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</si>
  <si>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</si>
  <si>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</si>
  <si>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</si>
  <si>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</si>
  <si>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</si>
  <si>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</si>
  <si>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</si>
  <si>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</si>
  <si>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</si>
  <si>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</si>
  <si>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</si>
  <si>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</si>
  <si>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</si>
  <si>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</si>
  <si>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</si>
  <si>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</si>
  <si>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</si>
  <si>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</si>
  <si>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</si>
  <si>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</si>
  <si>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</si>
  <si>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</si>
  <si>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</si>
  <si>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</si>
  <si>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</si>
  <si>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</si>
  <si>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</si>
  <si>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</si>
  <si>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</si>
  <si>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</si>
  <si>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</si>
  <si>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</si>
  <si>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</si>
  <si>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</si>
  <si>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</si>
  <si>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</si>
  <si>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</si>
  <si>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</si>
  <si>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</si>
  <si>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</si>
  <si>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</si>
  <si>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</si>
  <si>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</si>
  <si>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</si>
  <si>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</si>
  <si>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</si>
  <si>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</si>
  <si>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</si>
  <si>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</si>
  <si>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</si>
  <si>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</si>
  <si>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</si>
  <si>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</si>
  <si>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</si>
  <si>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</si>
  <si>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</si>
  <si>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</si>
  <si>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</si>
  <si>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</si>
  <si>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</si>
  <si>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</si>
  <si>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</si>
  <si>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</si>
  <si>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</si>
  <si>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</si>
  <si>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</si>
  <si>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</si>
  <si>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</si>
  <si>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</si>
  <si>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</si>
  <si>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</si>
  <si>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</si>
  <si>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</si>
  <si>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</si>
  <si>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</si>
  <si>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</si>
  <si>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</si>
  <si>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</si>
  <si>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</si>
  <si>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</si>
  <si>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</si>
  <si>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</si>
  <si>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</si>
  <si>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</si>
  <si>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</si>
  <si>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</si>
  <si>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</si>
  <si>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</si>
  <si>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</si>
  <si>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</si>
  <si>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</si>
  <si>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</si>
  <si>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</si>
  <si>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</si>
  <si>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</si>
  <si>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</si>
  <si>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</si>
  <si>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</si>
  <si>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</si>
  <si>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</si>
  <si>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</si>
  <si>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</si>
  <si>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</si>
  <si>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</si>
  <si>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</si>
  <si>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</si>
  <si>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</si>
  <si>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</si>
  <si>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</si>
  <si>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</si>
  <si>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</si>
  <si>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</si>
  <si>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</si>
  <si>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</si>
  <si>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</si>
  <si>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</si>
  <si>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</si>
  <si>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</si>
  <si>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</si>
  <si>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</si>
  <si>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</si>
  <si>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</si>
  <si>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</si>
  <si>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</si>
  <si>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</si>
  <si>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</si>
  <si>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</si>
  <si>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</si>
  <si>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</si>
  <si>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</si>
  <si>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</si>
  <si>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</si>
  <si>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</si>
  <si>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</si>
  <si>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</si>
  <si>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</si>
  <si>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</si>
  <si>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</si>
  <si>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</si>
  <si>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</si>
  <si>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</si>
  <si>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</si>
  <si>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</si>
  <si>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</si>
  <si>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</si>
  <si>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</si>
  <si>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</si>
  <si>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</si>
  <si>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</si>
  <si>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</si>
  <si>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</si>
  <si>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</si>
  <si>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</si>
  <si>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</si>
  <si>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</si>
  <si>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</si>
  <si>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</si>
  <si>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</si>
  <si>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</si>
  <si>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</si>
  <si>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</si>
  <si>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</si>
  <si>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</si>
  <si>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</si>
  <si>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</si>
  <si>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</si>
  <si>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</si>
  <si>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</si>
  <si>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</si>
  <si>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</si>
  <si>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</si>
  <si>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</si>
  <si>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</si>
  <si>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</si>
  <si>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</si>
  <si>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</si>
  <si>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</si>
  <si>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</si>
  <si>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</si>
  <si>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</si>
  <si>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</si>
  <si>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</si>
  <si>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</si>
  <si>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</si>
  <si>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</si>
  <si>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</si>
  <si>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</si>
  <si>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</si>
  <si>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</si>
  <si>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</si>
  <si>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</si>
  <si>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</si>
  <si>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</si>
  <si>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</si>
  <si>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</si>
  <si>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</si>
  <si>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</si>
  <si>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</si>
  <si>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</si>
  <si>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</si>
  <si>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</si>
  <si>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</si>
  <si>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</si>
  <si>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</si>
  <si>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</si>
  <si>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</si>
  <si>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</si>
  <si>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</si>
  <si>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</si>
  <si>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</si>
  <si>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</si>
  <si>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</si>
  <si>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</si>
  <si>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</si>
  <si>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</si>
  <si>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</si>
  <si>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</si>
  <si>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</si>
  <si>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</si>
  <si>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</si>
  <si>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</si>
  <si>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</si>
  <si>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</si>
  <si>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</si>
  <si>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</si>
  <si>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</si>
  <si>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</si>
  <si>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</si>
  <si>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</si>
  <si>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</si>
  <si>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</si>
  <si>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</si>
  <si>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</si>
  <si>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</si>
  <si>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</si>
  <si>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</si>
  <si>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</si>
  <si>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</si>
  <si>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</si>
  <si>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</si>
  <si>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</si>
  <si>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</si>
  <si>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</si>
  <si>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</si>
  <si>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</si>
  <si>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</si>
  <si>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</si>
  <si>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</si>
  <si>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</si>
  <si>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</si>
  <si>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</si>
  <si>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</si>
  <si>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</si>
  <si>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</si>
  <si>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</si>
  <si>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</si>
  <si>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</si>
  <si>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</si>
  <si>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</si>
  <si>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</si>
  <si>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</si>
  <si>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</si>
  <si>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</si>
  <si>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</si>
  <si>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</si>
  <si>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</si>
  <si>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</si>
  <si>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</si>
  <si>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</si>
  <si>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</si>
  <si>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</si>
  <si>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</si>
  <si>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</si>
  <si>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</si>
  <si>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</si>
  <si>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</si>
  <si>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</si>
  <si>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</si>
  <si>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</si>
  <si>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</si>
  <si>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</si>
  <si>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</si>
  <si>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</si>
  <si>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</si>
  <si>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</si>
  <si>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</si>
  <si>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</si>
  <si>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</si>
  <si>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</si>
  <si>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</si>
  <si>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</si>
  <si>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</si>
  <si>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</si>
  <si>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</si>
  <si>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</si>
  <si>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</si>
  <si>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</si>
  <si>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</si>
  <si>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</si>
  <si>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</si>
  <si>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</si>
  <si>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</si>
  <si>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</si>
  <si>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</si>
  <si>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</si>
  <si>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</si>
  <si>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</si>
  <si>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</si>
  <si>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</si>
  <si>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</si>
  <si>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</si>
  <si>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</si>
  <si>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</si>
  <si>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</si>
  <si>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</si>
  <si>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</si>
  <si>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</si>
  <si>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</si>
  <si>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</si>
  <si>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</si>
  <si>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</si>
  <si>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</si>
  <si>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</si>
  <si>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</si>
  <si>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</si>
  <si>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</si>
  <si>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</si>
  <si>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</si>
  <si>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</si>
  <si>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</si>
  <si>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</si>
  <si>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</si>
  <si>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</si>
  <si>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</si>
  <si>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</si>
  <si>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</si>
  <si>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</si>
  <si>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</si>
  <si>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</si>
  <si>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</si>
  <si>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</si>
  <si>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</si>
  <si>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</si>
  <si>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</si>
  <si>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</si>
  <si>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</si>
  <si>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</si>
  <si>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</si>
  <si>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</si>
  <si>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</si>
  <si>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</si>
  <si>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</si>
  <si>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</si>
  <si>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</si>
  <si>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</si>
  <si>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</si>
  <si>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</si>
  <si>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</si>
  <si>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</si>
  <si>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</si>
  <si>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</si>
  <si>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</si>
  <si>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</si>
  <si>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</si>
  <si>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</si>
  <si>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</si>
  <si>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</si>
  <si>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</si>
  <si>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</si>
  <si>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</si>
  <si>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</si>
  <si>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</si>
  <si>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</si>
  <si>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</si>
  <si>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</si>
  <si>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</si>
  <si>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</si>
  <si>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</si>
  <si>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</si>
  <si>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</si>
  <si>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</si>
  <si>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</si>
  <si>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</si>
  <si>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</si>
  <si>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</si>
  <si>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</si>
  <si>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</si>
  <si>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</si>
  <si>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</si>
  <si>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</si>
  <si>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</si>
  <si>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</si>
  <si>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</si>
  <si>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</si>
  <si>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</si>
  <si>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</si>
  <si>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</si>
  <si>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</si>
  <si>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</si>
  <si>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</si>
  <si>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</si>
  <si>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</si>
  <si>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</si>
  <si>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</si>
  <si>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</si>
  <si>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</si>
  <si>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</si>
  <si>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</si>
  <si>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</si>
  <si>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</si>
  <si>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</si>
  <si>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</si>
  <si>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</si>
  <si>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</si>
  <si>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</si>
  <si>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</si>
  <si>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</si>
  <si>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</si>
  <si>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</si>
  <si>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</si>
  <si>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</si>
  <si>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</si>
  <si>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</si>
  <si>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</si>
  <si>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</si>
  <si>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</si>
  <si>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</si>
  <si>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</si>
  <si>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</si>
  <si>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</si>
  <si>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</si>
  <si>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</si>
  <si>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</si>
  <si>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</si>
  <si>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</si>
  <si>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</si>
  <si>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</si>
  <si>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</si>
  <si>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</si>
  <si>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</si>
  <si>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</si>
  <si>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</si>
  <si>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</si>
  <si>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</si>
  <si>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</si>
  <si>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</si>
  <si>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</si>
  <si>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</si>
  <si>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</si>
  <si>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</si>
  <si>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</si>
  <si>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</si>
  <si>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</si>
  <si>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</si>
  <si>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</si>
  <si>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</si>
  <si>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</si>
  <si>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</si>
  <si>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</si>
  <si>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</si>
  <si>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</si>
  <si>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</si>
  <si>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</si>
  <si>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</si>
  <si>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</si>
  <si>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</si>
  <si>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</si>
  <si>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</si>
  <si>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</si>
  <si>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</si>
  <si>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</si>
  <si>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</si>
  <si>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</si>
  <si>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</si>
  <si>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</si>
  <si>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</si>
  <si>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</si>
  <si>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</si>
  <si>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</si>
  <si>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</si>
  <si>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</si>
  <si>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</si>
  <si>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</si>
  <si>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</si>
  <si>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</si>
  <si>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</si>
  <si>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</si>
  <si>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</si>
  <si>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</si>
  <si>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</si>
  <si>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</si>
  <si>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</si>
  <si>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</si>
  <si>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</si>
  <si>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</si>
  <si>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</si>
  <si>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</si>
  <si>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</si>
  <si>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</si>
  <si>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</si>
  <si>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</si>
  <si>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</si>
  <si>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</si>
  <si>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</si>
  <si>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</si>
  <si>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</si>
  <si>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</si>
  <si>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</si>
  <si>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</si>
  <si>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</si>
  <si>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</si>
  <si>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</si>
  <si>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</si>
  <si>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</si>
  <si>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</si>
  <si>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</si>
  <si>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</si>
  <si>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</si>
  <si>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</si>
  <si>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</si>
  <si>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</si>
  <si>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</si>
  <si>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</si>
  <si>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</si>
  <si>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</si>
  <si>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</si>
  <si>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</si>
  <si>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</si>
  <si>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</si>
  <si>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</si>
  <si>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</si>
  <si>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</si>
  <si>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</si>
  <si>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</si>
  <si>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</si>
  <si>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</si>
  <si>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</si>
  <si>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</si>
  <si>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</si>
  <si>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</si>
  <si>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</si>
  <si>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</si>
  <si>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</si>
  <si>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</si>
  <si>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</si>
  <si>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</si>
  <si>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</si>
  <si>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</si>
  <si>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</si>
  <si>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</si>
  <si>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</si>
  <si>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</si>
  <si>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</si>
  <si>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</si>
  <si>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</si>
  <si>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</si>
  <si>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</si>
  <si>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</si>
  <si>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</si>
  <si>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</si>
  <si>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</si>
  <si>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</si>
  <si>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</si>
  <si>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</si>
  <si>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</si>
  <si>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</si>
  <si>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</si>
  <si>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</si>
  <si>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</si>
  <si>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</si>
  <si>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</si>
  <si>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</si>
  <si>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</si>
  <si>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</si>
  <si>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</si>
  <si>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</si>
  <si>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</si>
  <si>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</si>
  <si>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</si>
  <si>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</si>
  <si>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</si>
  <si>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</si>
  <si>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</si>
  <si>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</si>
  <si>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</si>
  <si>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</si>
  <si>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</si>
  <si>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</si>
  <si>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</si>
  <si>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</si>
  <si>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</si>
  <si>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</si>
  <si>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</si>
  <si>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</si>
  <si>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</si>
  <si>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</si>
  <si>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</si>
  <si>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</si>
  <si>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</si>
  <si>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</si>
  <si>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</si>
  <si>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</si>
  <si>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</si>
  <si>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</si>
  <si>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</si>
  <si>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</si>
  <si>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</si>
  <si>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</si>
  <si>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</si>
  <si>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</si>
  <si>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</si>
  <si>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</si>
  <si>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</si>
  <si>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</si>
  <si>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</si>
  <si>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</si>
  <si>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</si>
  <si>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</si>
  <si>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</si>
  <si>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</si>
  <si>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</si>
  <si>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</si>
  <si>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</si>
  <si>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</si>
  <si>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</si>
  <si>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</si>
  <si>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</si>
  <si>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</si>
  <si>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</si>
  <si>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</si>
  <si>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</si>
  <si>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</si>
  <si>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</si>
  <si>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</si>
  <si>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</si>
  <si>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</si>
  <si>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</si>
  <si>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</si>
  <si>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</si>
  <si>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</si>
  <si>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</si>
  <si>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</si>
  <si>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</si>
  <si>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</si>
  <si>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</si>
  <si>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</si>
  <si>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</si>
  <si>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</si>
  <si>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</si>
  <si>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</si>
  <si>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</si>
  <si>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</si>
  <si>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</si>
  <si>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</si>
  <si>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</si>
  <si>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</si>
  <si>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</si>
  <si>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</si>
  <si>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</si>
  <si>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</si>
  <si>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</si>
  <si>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</si>
  <si>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</si>
  <si>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</si>
  <si>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</si>
  <si>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</si>
  <si>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</si>
  <si>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</si>
  <si>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</si>
  <si>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</si>
  <si>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</si>
  <si>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</si>
  <si>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</si>
  <si>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</si>
  <si>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</si>
  <si>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</si>
  <si>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</si>
  <si>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</si>
  <si>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</si>
  <si>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</si>
  <si>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</si>
  <si>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</si>
  <si>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</si>
  <si>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</si>
  <si>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</si>
  <si>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</si>
  <si>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</si>
  <si>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</si>
  <si>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</si>
  <si>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</si>
  <si>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</si>
  <si>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</si>
  <si>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</si>
  <si>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</si>
  <si>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</si>
  <si>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</si>
  <si>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</si>
  <si>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</si>
  <si>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</si>
  <si>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</si>
  <si>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</si>
  <si>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</si>
  <si>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</si>
  <si>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</si>
  <si>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</si>
  <si>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</si>
  <si>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</si>
  <si>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</si>
  <si>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</si>
  <si>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</si>
  <si>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</si>
  <si>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</si>
  <si>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</si>
  <si>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</si>
  <si>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</si>
  <si>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</si>
  <si>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</si>
  <si>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</si>
  <si>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</si>
  <si>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</si>
  <si>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</si>
  <si>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</si>
  <si>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</si>
  <si>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</si>
  <si>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</si>
  <si>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</si>
  <si>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</si>
  <si>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</si>
  <si>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</si>
  <si>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</si>
  <si>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</si>
  <si>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</si>
  <si>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</si>
  <si>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</si>
  <si>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LA RIOJA</t>
  </si>
  <si>
    <t>Provincias</t>
  </si>
  <si>
    <t>Resumenes por Partidos Judiciales</t>
  </si>
  <si>
    <t>LOGROÑO</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</si>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</sst>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2</v>
      </c>
      <c r="E5" s="418"/>
      <c r="F5" s="3"/>
      <c r="H5" t="s">
        <v>542</v>
      </c>
      <c r="Q5" s="391">
        <v>3</v>
      </c>
      <c r="R5" s="391">
        <v>2</v>
      </c>
      <c r="S5" t="b">
        <f>AND(Q5&gt;=TrimIni,Q5&lt;=TrimFin)</f>
        <v>0</v>
      </c>
    </row>
    <row r="6" spans="1:19" ht="15">
      <c r="A6" s="419"/>
      <c r="B6" s="418"/>
      <c r="C6" s="416" t="s">
        <v>274</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1179</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ZU4RtOycd73tEVvVi9jhBxXAxmHRVAP0tp9kTDEo4pw5AlzcF2494jh8bewdljySSxsAo9uLl/nbgIqHWX3WQ==" saltValue="HGKzzrUk7Odv1DZ9bq5T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LA RIOJA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2 al 2</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16.286380113930608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136</v>
      </c>
      <c r="D10" s="239">
        <f>IF(ISNUMBER(Datos!I10),Datos!I10," - ")</f>
        <v>136</v>
      </c>
      <c r="E10" s="240">
        <f>IF(ISNUMBER(Datos!J10),Datos!J10," - ")</f>
        <v>55</v>
      </c>
      <c r="F10" s="240">
        <f>IF(ISNUMBER(Datos!K10),Datos!K10," - ")</f>
        <v>41</v>
      </c>
      <c r="G10" s="1390" t="str">
        <f>IF(Datos!E10&lt;&gt;"",Datos!E10,Datos!D10)</f>
        <v>37</v>
      </c>
      <c r="H10" s="241">
        <f>IF(ISNUMBER(Datos!L10),Datos!L10," - ")</f>
        <v>150</v>
      </c>
      <c r="I10" s="1400" t="str">
        <f>IF(ISNUMBER(Datos!AS10/Datos!BM10),Datos!AS10/Datos!BM10," - ")</f>
        <v xml:space="preserve"> - </v>
      </c>
      <c r="J10" s="1401">
        <f>IF(ISNUMBER(Datos!BY10/Datos!CN10),Datos!BY10/Datos!CN10," - ")</f>
        <v>0</v>
      </c>
      <c r="K10" s="244">
        <f t="shared" ref="K10:K13" si="1">IF(ISNUMBER((E10-F10)/C10),(E10-F10)/C10," - ")</f>
        <v>0.10294117647058823</v>
      </c>
      <c r="L10" s="1402">
        <f>IF(ISNUMBER(NºAsuntos!I10/NºAsuntos!G10),(NºAsuntos!I10/NºAsuntos!G10)*11," - ")</f>
        <v>40.243902439024389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17.039719626168225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136</v>
      </c>
      <c r="D14" s="1407">
        <f>SUBTOTAL(9,D9:D13)</f>
        <v>136</v>
      </c>
      <c r="E14" s="1408">
        <f>SUBTOTAL(9,E9:E13)</f>
        <v>55</v>
      </c>
      <c r="F14" s="1409">
        <f>SUBTOTAL(9,F9:F13)</f>
        <v>41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1762</v>
      </c>
      <c r="D16" s="239">
        <f>IF(ISNUMBER(IF(D_I="SI",Datos!I16,Datos!I16+Datos!AC16)),IF(D_I="SI",Datos!I16,Datos!I16+Datos!AC16)," - ")</f>
        <v>1752</v>
      </c>
      <c r="E16" s="240">
        <f>IF(ISNUMBER(IF(D_I="SI",Datos!J16,Datos!J16+Datos!AD16)),IF(D_I="SI",Datos!J16,Datos!J16+Datos!AD16)," - ")</f>
        <v>1633</v>
      </c>
      <c r="F16" s="240">
        <f>IF(ISNUMBER(IF(D_I="SI",Datos!K16,Datos!K16+Datos!AE16)),IF(D_I="SI",Datos!K16,Datos!K16+Datos!AE16)," - ")</f>
        <v>1635</v>
      </c>
      <c r="G16" s="1390" t="str">
        <f>IF(Datos!E16&lt;&gt;"",Datos!E16,Datos!D16)</f>
        <v>03</v>
      </c>
      <c r="H16" s="241">
        <f>IF(ISNUMBER(IF(D_I="SI",Datos!L16,Datos!L16+Datos!AF16)),IF(D_I="SI",Datos!L16,Datos!L16+Datos!AF16)," - ")</f>
        <v>1760</v>
      </c>
      <c r="I16" s="1400" t="str">
        <f>IF(ISNUMBER(Datos!AS16/Datos!BM16),Datos!AS16/Datos!BM16," - ")</f>
        <v xml:space="preserve"> - </v>
      </c>
      <c r="J16" s="1401">
        <f>IF(ISNUMBER(Datos!BY16/Datos!CN16),Datos!BY16/Datos!CN16," - ")</f>
        <v>0</v>
      </c>
      <c r="K16" s="244">
        <f t="shared" ref="K16:K22" si="3">IF(ISNUMBER((E16-F16)/C16),(E16-F16)/C16," - ")</f>
        <v>-1.1350737797956867E-3</v>
      </c>
      <c r="L16" s="1402">
        <f>IF(ISNUMBER(NºAsuntos!I16/NºAsuntos!G16),(NºAsuntos!I16/NºAsuntos!G16)*11," - ")</f>
        <v>11.840978593272171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232</v>
      </c>
      <c r="D18" s="239">
        <f>IF(ISNUMBER(IF(D_I="SI",Datos!I18,Datos!I18+Datos!AC18)),IF(D_I="SI",Datos!I18,Datos!I18+Datos!AC18)," - ")</f>
        <v>231</v>
      </c>
      <c r="E18" s="240">
        <f>IF(ISNUMBER(IF(D_I="SI",Datos!J18,Datos!J18+Datos!AD18)),IF(D_I="SI",Datos!J18,Datos!J18+Datos!AD18)," - ")</f>
        <v>227</v>
      </c>
      <c r="F18" s="240">
        <f>IF(ISNUMBER(IF(D_I="SI",Datos!K18,Datos!K18+Datos!AE18)),IF(D_I="SI",Datos!K18,Datos!K18+Datos!AE18)," - ")</f>
        <v>236</v>
      </c>
      <c r="G18" s="1390" t="str">
        <f>IF(Datos!E18&lt;&gt;"",Datos!E18,Datos!D18)</f>
        <v>37</v>
      </c>
      <c r="H18" s="241">
        <f>IF(ISNUMBER(IF(D_I="SI",Datos!L18,Datos!L18+Datos!AF18)),IF(D_I="SI",Datos!L18,Datos!L18+Datos!AF18)," - ")</f>
        <v>223</v>
      </c>
      <c r="I18" s="1400" t="str">
        <f>IF(ISNUMBER(Datos!AS18/Datos!BM18),Datos!AS18/Datos!BM18," - ")</f>
        <v xml:space="preserve"> - </v>
      </c>
      <c r="J18" s="1401" t="str">
        <f>IF(ISNUMBER((Datos!BY18+Datos!BZ18)/Datos!CN18),(Datos!BY18+Datos!BZ18)/Datos!CN18," - ")</f>
        <v xml:space="preserve"> - </v>
      </c>
      <c r="K18" s="244">
        <f t="shared" si="3"/>
        <v>-3.8793103448275863E-2</v>
      </c>
      <c r="L18" s="1402">
        <f>IF(ISNUMBER(NºAsuntos!I18/NºAsuntos!G18),(NºAsuntos!I18/NºAsuntos!G18)*11," - ")</f>
        <v>10.39406779661017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f t="shared" si="2"/>
        <v>324</v>
      </c>
      <c r="D20" s="239">
        <f>IF(ISNUMBER(Datos!I20),Datos!I20," - ")</f>
        <v>324</v>
      </c>
      <c r="E20" s="240">
        <f>IF(ISNUMBER(Datos!J20),Datos!J20," - ")</f>
        <v>219</v>
      </c>
      <c r="F20" s="240">
        <f>IF(ISNUMBER(Datos!K20),Datos!K20," - ")</f>
        <v>302</v>
      </c>
      <c r="G20" s="1390" t="str">
        <f>IF(Datos!E20&lt;&gt;"",Datos!E20,Datos!D20)</f>
        <v>08</v>
      </c>
      <c r="H20" s="241">
        <f>IF(ISNUMBER(Datos!L20),Datos!L20," - ")</f>
        <v>241</v>
      </c>
      <c r="I20" s="1400" t="str">
        <f>IF(ISNUMBER(Datos!AS20/Datos!BM20),Datos!AS20/Datos!BM20," - ")</f>
        <v xml:space="preserve"> - </v>
      </c>
      <c r="J20" s="1401">
        <f>IF(ISNUMBER(Datos!BY20/Datos!CN20),Datos!BY20/Datos!CN20," - ")</f>
        <v>0</v>
      </c>
      <c r="K20" s="244">
        <f t="shared" si="3"/>
        <v>-0.25617283950617287</v>
      </c>
      <c r="L20" s="1402">
        <f>IF(ISNUMBER(NºAsuntos!I20/NºAsuntos!G20),(NºAsuntos!I20/NºAsuntos!G20)*11," - ")</f>
        <v>8.7781456953642376</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2318</v>
      </c>
      <c r="D23" s="1407">
        <f>SUBTOTAL(9,D16:D22)</f>
        <v>2307</v>
      </c>
      <c r="E23" s="1408">
        <f>SUBTOTAL(9,E16:E22)</f>
        <v>2079</v>
      </c>
      <c r="F23" s="1408">
        <f>SUBTOTAL(9,F16:F22)</f>
        <v>2173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2454</v>
      </c>
      <c r="D31" s="1435">
        <f>SUBTOTAL(9,D9:D30)</f>
        <v>2443</v>
      </c>
      <c r="E31" s="1436">
        <f>SUBTOTAL(9,E9:E30)</f>
        <v>2134</v>
      </c>
      <c r="F31" s="1436">
        <f>SUBTOTAL(9,F9:F30)</f>
        <v>2214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w5GSxmECK2m5d5Tpzmdtb47IYmrl9UECkVI02pBr+qHWE3Fzxh+mV+okvBuSYdyXvYTjLXG1CqQq+MfY4IGRmw==" saltValue="3zi5NsWgxEOkxOJD8fhK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WhHn5uA+fONoBOmQ/0TCnmg4+Zz3rUjYaaQca41wY6YNvH2fMt5WlRuVSVHa3F6D0/bsJtI9006TZkLFYFOwWA==" saltValue="DtqRnDYkDedbcOk4w6Kb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2842</v>
      </c>
      <c r="J9" s="194">
        <v>1829</v>
      </c>
      <c r="K9" s="194">
        <v>1850</v>
      </c>
      <c r="L9" s="194">
        <v>2821</v>
      </c>
      <c r="M9" s="194">
        <v>548</v>
      </c>
      <c r="N9" s="194">
        <v>628</v>
      </c>
      <c r="O9" s="194">
        <v>952</v>
      </c>
      <c r="P9" s="194">
        <v>569</v>
      </c>
      <c r="Q9" s="194">
        <v>558</v>
      </c>
      <c r="R9" s="194">
        <v>6264</v>
      </c>
      <c r="S9" s="194">
        <v>2792</v>
      </c>
      <c r="T9" s="194">
        <v>1611</v>
      </c>
      <c r="U9" s="194">
        <v>1851</v>
      </c>
      <c r="V9" s="194">
        <v>2552</v>
      </c>
      <c r="W9" s="194">
        <v>506</v>
      </c>
      <c r="X9" s="201">
        <v>711</v>
      </c>
      <c r="Y9" s="204">
        <v>37</v>
      </c>
      <c r="Z9" s="194">
        <v>82</v>
      </c>
      <c r="AA9" s="194">
        <v>81</v>
      </c>
      <c r="AB9" s="194">
        <v>38</v>
      </c>
      <c r="AC9" s="194">
        <v>0</v>
      </c>
      <c r="AD9" s="194">
        <v>0</v>
      </c>
      <c r="AE9" s="194">
        <v>0</v>
      </c>
      <c r="AF9" s="201">
        <v>0</v>
      </c>
      <c r="AG9" s="204">
        <v>52</v>
      </c>
      <c r="AH9" s="194">
        <v>129</v>
      </c>
      <c r="AI9" s="194">
        <v>126</v>
      </c>
      <c r="AJ9" s="205">
        <v>55</v>
      </c>
      <c r="AK9" s="193">
        <v>0</v>
      </c>
      <c r="AL9" s="194">
        <v>0</v>
      </c>
      <c r="AM9" s="194">
        <v>0</v>
      </c>
      <c r="AN9" s="201">
        <v>0</v>
      </c>
      <c r="AO9" s="282">
        <v>6</v>
      </c>
      <c r="AP9" s="167">
        <v>6</v>
      </c>
      <c r="AQ9" s="167">
        <v>6</v>
      </c>
      <c r="AR9" s="206">
        <v>6</v>
      </c>
      <c r="AS9" s="379" t="s">
        <v>1067</v>
      </c>
      <c r="AT9" s="208"/>
      <c r="AU9" s="207"/>
      <c r="AV9" s="208"/>
      <c r="AW9" s="207"/>
      <c r="AX9" s="208"/>
      <c r="AY9" s="133">
        <f>IF(ISNUMBER(IF(J_V="SI",S9,S9+AG9)),IF(J_V="SI",S9,S9+AG9)," - ")</f>
        <v>2844</v>
      </c>
      <c r="AZ9" s="133">
        <f>IF(ISNUMBER(IF(J_V="SI",T9,T9+AH9)),IF(J_V="SI",T9,T9+AH9)," - ")</f>
        <v>1740</v>
      </c>
      <c r="BA9" s="134">
        <f>IF(ISNUMBER(IF(J_V="SI",U9,U9+AI9)),IF(J_V="SI",U9,U9+AI9)," - ")</f>
        <v>1977</v>
      </c>
      <c r="BB9" s="134">
        <f>IF(ISNUMBER(IF(J_V="SI",V9,V9+AJ9)),IF(J_V="SI",V9,V9+AJ9)," - ")</f>
        <v>2607</v>
      </c>
      <c r="BC9" s="135">
        <f>IF(ISNUMBER(X9),X9," - ")</f>
        <v>711</v>
      </c>
      <c r="BD9" s="136">
        <f>IF(ISNUMBER(BA9/AZ9),BA9/AZ9," - ")</f>
        <v>1.1362068965517242</v>
      </c>
      <c r="BE9" s="137">
        <f>IF(ISNUMBER(BB9/BA9),BB9/BA9, " - ")</f>
        <v>1.3186646433990896</v>
      </c>
      <c r="BF9" s="137">
        <f>IF(ISNUMBER(BC9/BA9),BC9/BA9, " - ")</f>
        <v>0.35963581183611532</v>
      </c>
      <c r="BG9" s="209">
        <f>IF(ISNUMBER((AY9+AZ9)/BA9),(AY9+AZ9)/BA9," - ")</f>
        <v>2.3186646433990896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136</v>
      </c>
      <c r="J10" s="194">
        <v>55</v>
      </c>
      <c r="K10" s="194">
        <v>41</v>
      </c>
      <c r="L10" s="194">
        <v>150</v>
      </c>
      <c r="M10" s="194">
        <v>30</v>
      </c>
      <c r="N10" s="194">
        <v>14</v>
      </c>
      <c r="O10" s="194">
        <v>5</v>
      </c>
      <c r="P10" s="194">
        <v>16</v>
      </c>
      <c r="Q10" s="194">
        <v>8</v>
      </c>
      <c r="R10" s="194">
        <v>156</v>
      </c>
      <c r="S10" s="194">
        <v>140</v>
      </c>
      <c r="T10" s="194">
        <v>40</v>
      </c>
      <c r="U10" s="194">
        <v>54</v>
      </c>
      <c r="V10" s="194">
        <v>126</v>
      </c>
      <c r="W10" s="194">
        <v>25</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140</v>
      </c>
      <c r="AZ10" s="139">
        <f t="shared" si="0"/>
        <v>40</v>
      </c>
      <c r="BA10" s="139">
        <f t="shared" si="0"/>
        <v>54</v>
      </c>
      <c r="BB10" s="139">
        <f t="shared" si="0"/>
        <v>126</v>
      </c>
      <c r="BC10" s="135">
        <f t="shared" si="0"/>
        <v>25</v>
      </c>
      <c r="BD10" s="136">
        <f>IF(ISNUMBER(BA10/AZ10),BA10/AZ10," - ")</f>
        <v>1.35</v>
      </c>
      <c r="BE10" s="137">
        <f>IF(ISNUMBER(BB10/BA10),BB10/BA10, " - ")</f>
        <v>2.3333333333333335</v>
      </c>
      <c r="BF10" s="137">
        <f>IF(ISNUMBER(BC10/BA10),BC10/BA10, " - ")</f>
        <v>0.46296296296296297</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657</v>
      </c>
      <c r="J11" s="196">
        <v>263</v>
      </c>
      <c r="K11" s="196">
        <v>313</v>
      </c>
      <c r="L11" s="196">
        <v>607</v>
      </c>
      <c r="M11" s="196">
        <v>121</v>
      </c>
      <c r="N11" s="196">
        <v>255</v>
      </c>
      <c r="O11" s="194">
        <v>100</v>
      </c>
      <c r="P11" s="196">
        <v>38</v>
      </c>
      <c r="Q11" s="196">
        <v>37</v>
      </c>
      <c r="R11" s="196">
        <v>513</v>
      </c>
      <c r="S11" s="196">
        <v>639</v>
      </c>
      <c r="T11" s="196">
        <v>309</v>
      </c>
      <c r="U11" s="196">
        <v>279</v>
      </c>
      <c r="V11" s="196">
        <v>572</v>
      </c>
      <c r="W11" s="196">
        <v>174</v>
      </c>
      <c r="X11" s="202">
        <v>185</v>
      </c>
      <c r="Y11" s="204">
        <v>54</v>
      </c>
      <c r="Z11" s="194">
        <v>117</v>
      </c>
      <c r="AA11" s="194">
        <v>115</v>
      </c>
      <c r="AB11" s="194">
        <v>56</v>
      </c>
      <c r="AC11" s="196">
        <v>0</v>
      </c>
      <c r="AD11" s="196">
        <v>0</v>
      </c>
      <c r="AE11" s="196">
        <v>0</v>
      </c>
      <c r="AF11" s="202">
        <v>0</v>
      </c>
      <c r="AG11" s="215">
        <v>123</v>
      </c>
      <c r="AH11" s="196">
        <v>118</v>
      </c>
      <c r="AI11" s="196">
        <v>117</v>
      </c>
      <c r="AJ11" s="216">
        <v>67</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762</v>
      </c>
      <c r="AZ11" s="137">
        <f t="shared" si="1"/>
        <v>427</v>
      </c>
      <c r="BA11" s="137">
        <f t="shared" si="1"/>
        <v>396</v>
      </c>
      <c r="BB11" s="137">
        <f t="shared" si="1"/>
        <v>639</v>
      </c>
      <c r="BC11" s="135">
        <f>IF(ISNUMBER(X11),X11," - ")</f>
        <v>185</v>
      </c>
      <c r="BD11" s="136">
        <f t="shared" ref="BD11:BD13" si="2">IF(ISNUMBER(BA11/AZ11),BA11/AZ11," - ")</f>
        <v>0.92740046838407497</v>
      </c>
      <c r="BE11" s="137">
        <f t="shared" ref="BE11:BE13" si="3">IF(ISNUMBER(BB11/BA11),BB11/BA11, " - ")</f>
        <v>1.6136363636363635</v>
      </c>
      <c r="BF11" s="137">
        <f t="shared" ref="BF11:BF13" si="4">IF(ISNUMBER(BC11/BA11),BC11/BA11, " - ")</f>
        <v>0.46717171717171718</v>
      </c>
      <c r="BG11" s="209">
        <f t="shared" ref="BG11:BG13" si="5">IF(ISNUMBER((AY11+AZ11)/BA11),(AY11+AZ11)/BA11," - ")</f>
        <v>3.0025252525252526</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0</v>
      </c>
      <c r="K12" s="196">
        <v>0</v>
      </c>
      <c r="L12" s="196">
        <v>1</v>
      </c>
      <c r="M12" s="196">
        <v>0</v>
      </c>
      <c r="N12" s="196">
        <v>0</v>
      </c>
      <c r="O12" s="194">
        <v>0</v>
      </c>
      <c r="P12" s="196">
        <v>0</v>
      </c>
      <c r="Q12" s="196">
        <v>2</v>
      </c>
      <c r="R12" s="196">
        <v>57</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3636</v>
      </c>
      <c r="J14" s="197">
        <f t="shared" si="7"/>
        <v>2147</v>
      </c>
      <c r="K14" s="197">
        <f t="shared" si="7"/>
        <v>2204</v>
      </c>
      <c r="L14" s="197">
        <f t="shared" si="7"/>
        <v>3579</v>
      </c>
      <c r="M14" s="197">
        <f t="shared" si="7"/>
        <v>699</v>
      </c>
      <c r="N14" s="197">
        <f t="shared" si="7"/>
        <v>897</v>
      </c>
      <c r="O14" s="197">
        <f t="shared" si="7"/>
        <v>1057</v>
      </c>
      <c r="P14" s="197">
        <f t="shared" si="7"/>
        <v>623</v>
      </c>
      <c r="Q14" s="197">
        <f t="shared" si="7"/>
        <v>605</v>
      </c>
      <c r="R14" s="197">
        <f t="shared" si="7"/>
        <v>6990</v>
      </c>
      <c r="S14" s="197">
        <f t="shared" si="7"/>
        <v>3572</v>
      </c>
      <c r="T14" s="197">
        <f t="shared" si="7"/>
        <v>1960</v>
      </c>
      <c r="U14" s="197">
        <f t="shared" si="7"/>
        <v>2184</v>
      </c>
      <c r="V14" s="197">
        <f t="shared" si="7"/>
        <v>3251</v>
      </c>
      <c r="W14" s="197">
        <f t="shared" si="7"/>
        <v>705</v>
      </c>
      <c r="X14" s="197">
        <f t="shared" si="7"/>
        <v>913</v>
      </c>
      <c r="Y14" s="197">
        <f t="shared" si="7"/>
        <v>91</v>
      </c>
      <c r="Z14" s="197">
        <f t="shared" si="7"/>
        <v>199</v>
      </c>
      <c r="AA14" s="197">
        <f t="shared" si="7"/>
        <v>196</v>
      </c>
      <c r="AB14" s="197">
        <f t="shared" si="7"/>
        <v>94</v>
      </c>
      <c r="AC14" s="197">
        <f t="shared" si="7"/>
        <v>0</v>
      </c>
      <c r="AD14" s="197">
        <f t="shared" si="7"/>
        <v>0</v>
      </c>
      <c r="AE14" s="197">
        <f t="shared" si="7"/>
        <v>0</v>
      </c>
      <c r="AF14" s="197">
        <f>SUBTOTAL(9,AF9:AF13)</f>
        <v>0</v>
      </c>
      <c r="AG14" s="197">
        <f t="shared" ref="AG14:AT14" si="8">SUBTOTAL(9,AG8:AG13)</f>
        <v>175</v>
      </c>
      <c r="AH14" s="197">
        <f t="shared" si="8"/>
        <v>247</v>
      </c>
      <c r="AI14" s="197">
        <f t="shared" si="8"/>
        <v>243</v>
      </c>
      <c r="AJ14" s="197">
        <f t="shared" si="8"/>
        <v>122</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3747</v>
      </c>
      <c r="AZ14" s="197">
        <f>SUBTOTAL(9,AZ8:AZ13)</f>
        <v>2207</v>
      </c>
      <c r="BA14" s="197">
        <f>SUBTOTAL(9,BA8:BA13)</f>
        <v>2427</v>
      </c>
      <c r="BB14" s="197">
        <f>SUBTOTAL(9,BB8:BB13)</f>
        <v>3373</v>
      </c>
      <c r="BC14" s="197">
        <f>SUBTOTAL(9,BC8:BC13)</f>
        <v>921</v>
      </c>
      <c r="BD14" s="219">
        <f>IF(ISNUMBER(BA14/AZ14),BA14/AZ14," - ")</f>
        <v>1.0996828273674673</v>
      </c>
      <c r="BE14" s="220">
        <f>IF(ISNUMBER(BB14/BA14),BB14/BA14, " - ")</f>
        <v>1.3897816234033786</v>
      </c>
      <c r="BF14" s="220">
        <f>IF(ISNUMBER(BC14/BA14),BC14/BA14, " - ")</f>
        <v>0.37948084054388131</v>
      </c>
      <c r="BG14" s="221">
        <f>IF(ISNUMBER((AY14+AZ14)/BA14),(AY14+AZ14)/BA14," - ")</f>
        <v>2.4532344458178823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1752</v>
      </c>
      <c r="J16" s="196">
        <v>1633</v>
      </c>
      <c r="K16" s="196">
        <v>1635</v>
      </c>
      <c r="L16" s="196">
        <v>1760</v>
      </c>
      <c r="M16" s="196">
        <v>322</v>
      </c>
      <c r="N16" s="196">
        <v>808</v>
      </c>
      <c r="O16" s="194">
        <v>65</v>
      </c>
      <c r="P16" s="196">
        <v>111</v>
      </c>
      <c r="Q16" s="196">
        <v>86</v>
      </c>
      <c r="R16" s="196">
        <v>268</v>
      </c>
      <c r="S16" s="196">
        <v>1412</v>
      </c>
      <c r="T16" s="196">
        <v>1511</v>
      </c>
      <c r="U16" s="196">
        <v>1585</v>
      </c>
      <c r="V16" s="196">
        <v>1346</v>
      </c>
      <c r="W16" s="196">
        <v>327</v>
      </c>
      <c r="X16" s="202">
        <v>791</v>
      </c>
      <c r="Y16" s="215">
        <v>0</v>
      </c>
      <c r="Z16" s="196">
        <v>0</v>
      </c>
      <c r="AA16" s="196">
        <v>0</v>
      </c>
      <c r="AB16" s="196">
        <v>0</v>
      </c>
      <c r="AC16" s="196">
        <v>0</v>
      </c>
      <c r="AD16" s="196">
        <v>43</v>
      </c>
      <c r="AE16" s="196">
        <v>43</v>
      </c>
      <c r="AF16" s="202">
        <v>0</v>
      </c>
      <c r="AG16" s="215">
        <v>0</v>
      </c>
      <c r="AH16" s="196">
        <v>0</v>
      </c>
      <c r="AI16" s="196">
        <v>0</v>
      </c>
      <c r="AJ16" s="216">
        <v>0</v>
      </c>
      <c r="AK16" s="195">
        <v>2</v>
      </c>
      <c r="AL16" s="196">
        <v>58</v>
      </c>
      <c r="AM16" s="196">
        <v>60</v>
      </c>
      <c r="AN16" s="202">
        <v>0</v>
      </c>
      <c r="AO16" s="283">
        <v>3</v>
      </c>
      <c r="AP16" s="168">
        <v>3</v>
      </c>
      <c r="AQ16" s="168">
        <v>3</v>
      </c>
      <c r="AR16" s="168">
        <v>3</v>
      </c>
      <c r="AS16" s="381" t="s">
        <v>697</v>
      </c>
      <c r="AT16" s="216" t="s">
        <v>420</v>
      </c>
      <c r="AU16" s="215"/>
      <c r="AV16" s="216"/>
      <c r="AW16" s="215"/>
      <c r="AX16" s="216"/>
      <c r="AY16" s="138">
        <f t="shared" ref="AY16:BB17" si="10">IF(ISNUMBER(IF(D_I="SI",S16,S16+AK16)),IF(D_I="SI",S16,S16+AK16)," - ")</f>
        <v>1412</v>
      </c>
      <c r="AZ16" s="139">
        <f t="shared" si="10"/>
        <v>1511</v>
      </c>
      <c r="BA16" s="139">
        <f t="shared" si="10"/>
        <v>1585</v>
      </c>
      <c r="BB16" s="139">
        <f t="shared" si="10"/>
        <v>1346</v>
      </c>
      <c r="BC16" s="135">
        <f>IF(ISNUMBER(W16),W16," - ")</f>
        <v>327</v>
      </c>
      <c r="BD16" s="136">
        <f>IF(ISNUMBER(BA16/AZ16),BA16/AZ16," - ")</f>
        <v>1.0489741892786235</v>
      </c>
      <c r="BE16" s="137">
        <f>IF(ISNUMBER(BB16/BA16),BB16/BA16, " - ")</f>
        <v>0.84921135646687695</v>
      </c>
      <c r="BF16" s="137">
        <f>IF(ISNUMBER(BC16/BA16),BC16/BA16, " - ")</f>
        <v>0.20630914826498423</v>
      </c>
      <c r="BG16" s="209">
        <f t="shared" ref="BG16:BG22" si="11">IF(ISNUMBER((AY16+AZ16)/BA16),(AY16+AZ16)/BA16," - ")</f>
        <v>1.8441640378548896</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231</v>
      </c>
      <c r="J18" s="196">
        <v>227</v>
      </c>
      <c r="K18" s="196">
        <v>236</v>
      </c>
      <c r="L18" s="196">
        <v>223</v>
      </c>
      <c r="M18" s="196">
        <v>36</v>
      </c>
      <c r="N18" s="196">
        <v>117</v>
      </c>
      <c r="O18" s="196">
        <v>1</v>
      </c>
      <c r="P18" s="196">
        <v>1</v>
      </c>
      <c r="Q18" s="196">
        <v>1</v>
      </c>
      <c r="R18" s="196">
        <v>8</v>
      </c>
      <c r="S18" s="196">
        <v>269</v>
      </c>
      <c r="T18" s="196">
        <v>192</v>
      </c>
      <c r="U18" s="196">
        <v>248</v>
      </c>
      <c r="V18" s="196">
        <v>213</v>
      </c>
      <c r="W18" s="196">
        <v>28</v>
      </c>
      <c r="X18" s="202">
        <v>120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269</v>
      </c>
      <c r="AZ18" s="139">
        <f t="shared" si="15"/>
        <v>192</v>
      </c>
      <c r="BA18" s="139">
        <f t="shared" si="15"/>
        <v>248</v>
      </c>
      <c r="BB18" s="139">
        <f t="shared" si="15"/>
        <v>213</v>
      </c>
      <c r="BC18" s="135">
        <f>IF(ISNUMBER(W18),W18," - ")</f>
        <v>28</v>
      </c>
      <c r="BD18" s="136">
        <f>IF(ISNUMBER(BA18/AZ18),BA18/AZ18," - ")</f>
        <v>1.2916666666666667</v>
      </c>
      <c r="BE18" s="137">
        <f>IF(ISNUMBER(BB18/BA18),BB18/BA18, " - ")</f>
        <v>0.8588709677419355</v>
      </c>
      <c r="BF18" s="137">
        <f>IF(ISNUMBER(BC18/BA18),BC18/BA18, " - ")</f>
        <v>0.11290322580645161</v>
      </c>
      <c r="BG18" s="209">
        <f>IF(ISNUMBER((AY18+AZ18)/BA18),(AY18+AZ18)/BA18," - ")</f>
        <v>1.8588709677419355</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v>324</v>
      </c>
      <c r="J20" s="196">
        <v>219</v>
      </c>
      <c r="K20" s="196">
        <v>302</v>
      </c>
      <c r="L20" s="196">
        <v>241</v>
      </c>
      <c r="M20" s="196" t="s">
        <v>1183</v>
      </c>
      <c r="N20" s="534">
        <v>243</v>
      </c>
      <c r="O20" s="534">
        <v>23</v>
      </c>
      <c r="P20" s="196" t="s">
        <v>1183</v>
      </c>
      <c r="Q20" s="196" t="s">
        <v>1183</v>
      </c>
      <c r="R20" s="196" t="s">
        <v>1183</v>
      </c>
      <c r="S20" s="196">
        <v>227</v>
      </c>
      <c r="T20" s="196">
        <v>243</v>
      </c>
      <c r="U20" s="196">
        <v>256</v>
      </c>
      <c r="V20" s="196">
        <v>214</v>
      </c>
      <c r="W20" s="196" t="s">
        <v>1183</v>
      </c>
      <c r="X20" s="202">
        <v>231</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69</v>
      </c>
      <c r="AT20" s="216"/>
      <c r="AU20" s="215"/>
      <c r="AV20" s="216"/>
      <c r="AW20" s="215"/>
      <c r="AX20" s="216"/>
      <c r="AY20" s="138">
        <f t="shared" ref="AY20:AY22" si="16">IF(ISNUMBER(S20),S20," - ")</f>
        <v>227</v>
      </c>
      <c r="AZ20" s="139">
        <f t="shared" ref="AZ20:AZ22" si="17">IF(ISNUMBER(T20),T20," - ")</f>
        <v>243</v>
      </c>
      <c r="BA20" s="139">
        <f t="shared" ref="BA20:BA22" si="18">IF(ISNUMBER(U20),U20," - ")</f>
        <v>256</v>
      </c>
      <c r="BB20" s="139">
        <f t="shared" ref="BB20:BB22" si="19">IF(ISNUMBER(V20),V20," - ")</f>
        <v>214</v>
      </c>
      <c r="BC20" s="135" t="str">
        <f t="shared" ref="BC20:BC22" si="20">IF(ISNUMBER(W20),W20," - ")</f>
        <v xml:space="preserve"> - </v>
      </c>
      <c r="BD20" s="136">
        <f t="shared" si="12"/>
        <v>1.0534979423868314</v>
      </c>
      <c r="BE20" s="137">
        <f t="shared" si="13"/>
        <v>0.8359375</v>
      </c>
      <c r="BF20" s="137" t="str">
        <f t="shared" si="14"/>
        <v xml:space="preserve"> - </v>
      </c>
      <c r="BG20" s="209">
        <f t="shared" si="11"/>
        <v>1.8359375</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2307</v>
      </c>
      <c r="J23" s="197">
        <f t="shared" si="21"/>
        <v>2079</v>
      </c>
      <c r="K23" s="197">
        <f t="shared" si="21"/>
        <v>2173</v>
      </c>
      <c r="L23" s="197">
        <f t="shared" si="21"/>
        <v>2224</v>
      </c>
      <c r="M23" s="197">
        <f t="shared" si="21"/>
        <v>358</v>
      </c>
      <c r="N23" s="197">
        <f t="shared" si="21"/>
        <v>1168</v>
      </c>
      <c r="O23" s="197">
        <f t="shared" si="21"/>
        <v>89</v>
      </c>
      <c r="P23" s="197">
        <f t="shared" si="21"/>
        <v>112</v>
      </c>
      <c r="Q23" s="197">
        <f t="shared" si="21"/>
        <v>87</v>
      </c>
      <c r="R23" s="197">
        <f t="shared" si="21"/>
        <v>276</v>
      </c>
      <c r="S23" s="197">
        <f t="shared" si="21"/>
        <v>1908</v>
      </c>
      <c r="T23" s="197">
        <f t="shared" si="21"/>
        <v>1946</v>
      </c>
      <c r="U23" s="197">
        <f t="shared" si="21"/>
        <v>2089</v>
      </c>
      <c r="V23" s="197">
        <f t="shared" si="21"/>
        <v>1773</v>
      </c>
      <c r="W23" s="197">
        <f t="shared" si="21"/>
        <v>355</v>
      </c>
      <c r="X23" s="197">
        <f t="shared" si="21"/>
        <v>1142</v>
      </c>
      <c r="Y23" s="197">
        <f t="shared" si="21"/>
        <v>0</v>
      </c>
      <c r="Z23" s="197">
        <f t="shared" si="21"/>
        <v>0</v>
      </c>
      <c r="AA23" s="197">
        <f t="shared" si="21"/>
        <v>0</v>
      </c>
      <c r="AB23" s="197">
        <f t="shared" si="21"/>
        <v>0</v>
      </c>
      <c r="AC23" s="197">
        <f t="shared" si="21"/>
        <v>0</v>
      </c>
      <c r="AD23" s="197">
        <f t="shared" si="21"/>
        <v>43</v>
      </c>
      <c r="AE23" s="197">
        <f t="shared" si="21"/>
        <v>43</v>
      </c>
      <c r="AF23" s="197">
        <f t="shared" si="21"/>
        <v>0</v>
      </c>
      <c r="AG23" s="197">
        <f t="shared" si="21"/>
        <v>0</v>
      </c>
      <c r="AH23" s="197">
        <f t="shared" si="21"/>
        <v>0</v>
      </c>
      <c r="AI23" s="197">
        <f t="shared" si="21"/>
        <v>0</v>
      </c>
      <c r="AJ23" s="197">
        <f t="shared" si="21"/>
        <v>0</v>
      </c>
      <c r="AK23" s="197">
        <f t="shared" si="21"/>
        <v>2</v>
      </c>
      <c r="AL23" s="197">
        <f t="shared" si="21"/>
        <v>58</v>
      </c>
      <c r="AM23" s="197">
        <f t="shared" si="21"/>
        <v>60</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1908</v>
      </c>
      <c r="AZ23" s="197">
        <f>SUBTOTAL(9,AZ15:AZ22)</f>
        <v>1946</v>
      </c>
      <c r="BA23" s="197">
        <f>SUBTOTAL(9,BA15:BA22)</f>
        <v>2089</v>
      </c>
      <c r="BB23" s="197">
        <f>SUBTOTAL(9,BB15:BB22)</f>
        <v>1773</v>
      </c>
      <c r="BC23" s="197">
        <f>SUBTOTAL(9,BC15:BC22)</f>
        <v>355</v>
      </c>
      <c r="BD23" s="219">
        <f>IF(ISNUMBER(BA23/AZ23),BA23/AZ23," - ")</f>
        <v>1.0734840698869477</v>
      </c>
      <c r="BE23" s="220">
        <f>IF(ISNUMBER(BB23/BA23),BB23/BA23, " - ")</f>
        <v>0.84873145045476306</v>
      </c>
      <c r="BF23" s="220">
        <f>IF(ISNUMBER(BC23/BA23),BC23/BA23, " - ")</f>
        <v>0.16993776926759216</v>
      </c>
      <c r="BG23" s="221">
        <f>IF(ISNUMBER((AY23+AZ23)/BA23),(AY23+AZ23)/BA23," - ")</f>
        <v>1.8449018669219723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5943</v>
      </c>
      <c r="J31" s="144">
        <f t="shared" si="36"/>
        <v>4226</v>
      </c>
      <c r="K31" s="144">
        <f t="shared" si="36"/>
        <v>4377</v>
      </c>
      <c r="L31" s="144">
        <f t="shared" si="36"/>
        <v>5803</v>
      </c>
      <c r="M31" s="144">
        <f t="shared" si="36"/>
        <v>1057</v>
      </c>
      <c r="N31" s="144">
        <f t="shared" si="36"/>
        <v>2065</v>
      </c>
      <c r="O31" s="144">
        <f t="shared" si="36"/>
        <v>1146</v>
      </c>
      <c r="P31" s="144">
        <f t="shared" si="36"/>
        <v>735</v>
      </c>
      <c r="Q31" s="144">
        <f t="shared" si="36"/>
        <v>692</v>
      </c>
      <c r="R31" s="144">
        <f t="shared" si="36"/>
        <v>7266</v>
      </c>
      <c r="S31" s="144">
        <f t="shared" si="36"/>
        <v>5480</v>
      </c>
      <c r="T31" s="144">
        <f t="shared" si="36"/>
        <v>3906</v>
      </c>
      <c r="U31" s="144">
        <f t="shared" si="36"/>
        <v>4273</v>
      </c>
      <c r="V31" s="144">
        <f t="shared" si="36"/>
        <v>5024</v>
      </c>
      <c r="W31" s="144">
        <f t="shared" si="36"/>
        <v>1060</v>
      </c>
      <c r="X31" s="144">
        <f t="shared" si="36"/>
        <v>2055</v>
      </c>
      <c r="Y31" s="144">
        <f t="shared" si="36"/>
        <v>91</v>
      </c>
      <c r="Z31" s="144">
        <f t="shared" si="36"/>
        <v>199</v>
      </c>
      <c r="AA31" s="144">
        <f t="shared" si="36"/>
        <v>196</v>
      </c>
      <c r="AB31" s="144">
        <f t="shared" si="36"/>
        <v>94</v>
      </c>
      <c r="AC31" s="144">
        <f t="shared" si="36"/>
        <v>0</v>
      </c>
      <c r="AD31" s="144">
        <f t="shared" si="36"/>
        <v>43</v>
      </c>
      <c r="AE31" s="144">
        <f t="shared" si="36"/>
        <v>43</v>
      </c>
      <c r="AF31" s="144">
        <f t="shared" si="36"/>
        <v>0</v>
      </c>
      <c r="AG31" s="144">
        <f t="shared" si="36"/>
        <v>175</v>
      </c>
      <c r="AH31" s="144">
        <f t="shared" si="36"/>
        <v>247</v>
      </c>
      <c r="AI31" s="144">
        <f t="shared" si="36"/>
        <v>243</v>
      </c>
      <c r="AJ31" s="144">
        <f t="shared" si="36"/>
        <v>122</v>
      </c>
      <c r="AK31" s="144">
        <f t="shared" si="36"/>
        <v>2</v>
      </c>
      <c r="AL31" s="144">
        <f t="shared" si="36"/>
        <v>58</v>
      </c>
      <c r="AM31" s="144">
        <f t="shared" si="36"/>
        <v>60</v>
      </c>
      <c r="AN31" s="224">
        <f t="shared" si="36"/>
        <v>0</v>
      </c>
      <c r="AO31" s="225">
        <v>11</v>
      </c>
      <c r="AP31" s="225">
        <v>11</v>
      </c>
      <c r="AQ31" s="225">
        <v>11</v>
      </c>
      <c r="AR31" s="225">
        <v>11</v>
      </c>
      <c r="AS31" s="166">
        <f t="shared" si="36"/>
        <v>0</v>
      </c>
      <c r="AT31" s="166">
        <f t="shared" si="36"/>
        <v>0</v>
      </c>
      <c r="AU31" s="225"/>
      <c r="AV31" s="226"/>
      <c r="AW31" s="225"/>
      <c r="AX31" s="226"/>
      <c r="AY31" s="143">
        <f>SUBTOTAL(9,AY9:AY30)</f>
        <v>5655</v>
      </c>
      <c r="AZ31" s="144">
        <f>SUBTOTAL(9,AZ9:AZ30)</f>
        <v>4153</v>
      </c>
      <c r="BA31" s="144">
        <f>SUBTOTAL(9,BA9:BA30)</f>
        <v>4516</v>
      </c>
      <c r="BB31" s="144">
        <f>SUBTOTAL(9,BB9:BB30)</f>
        <v>5146</v>
      </c>
      <c r="BC31" s="145">
        <f>SUBTOTAL(9,BC9:BC30)</f>
        <v>1276</v>
      </c>
      <c r="BD31" s="227">
        <f>IF(ISNUMBER(BA31/AZ31),BA31/AZ31," - ")</f>
        <v>1.0874066939561762</v>
      </c>
      <c r="BE31" s="224">
        <f>IF(ISNUMBER(BB31/BA31),BB31/BA31, " - ")</f>
        <v>1.1395039858281666</v>
      </c>
      <c r="BF31" s="224">
        <f>IF(ISNUMBER(BC31/BA31),BC31/BA31, " - ")</f>
        <v>0.28255093002657217</v>
      </c>
      <c r="BG31" s="145">
        <f>IF(ISNUMBER((AY31+AZ31)/BA31),(AY31+AZ31)/BA31," - ")</f>
        <v>2.1718334809565989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QfC8uLCjRVrYQkjkA5y7pUFxOwoWx8o21ej7vdDiyb7X5Xef2IJfz5BJ3N5tODX7QXO/ktWjWmEnuNVNt2Y7g==" saltValue="+yx2LWUw9HbS7ndEM0HJ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8l2BSI6iFsc86wWwYi4JkicJdo62pjqy4SKJ8bJ5KzvuHk/6D18UIv+3mlUkczeEfeSzDNnAfcL7IBdVFNjmA==" saltValue="uUaIt414iKtrBWeJFUrV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LOGROÑO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317</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82</v>
      </c>
      <c r="O9" s="549"/>
      <c r="P9" s="549"/>
      <c r="Q9" s="547">
        <f>IF(ISNUMBER(Datos!P9),Datos!P9,0)</f>
        <v>569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558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38</v>
      </c>
      <c r="AI9" s="549" t="str">
        <f>IF(ISNUMBER(Datos!CD9),Datos!CD9,"-")</f>
        <v>-</v>
      </c>
      <c r="AJ9" s="549" t="str">
        <f>IF(ISNUMBER(Datos!EN9),Datos!EN9," - ")</f>
        <v xml:space="preserve"> - </v>
      </c>
      <c r="AK9" s="549"/>
      <c r="AL9" s="550"/>
      <c r="AM9" s="766">
        <f>IF(ISNUMBER(Datos!R9),Datos!R9," - ")</f>
        <v>6264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548</v>
      </c>
      <c r="BD9" s="693">
        <f>IF(ISNUMBER(Datos!N9),Datos!N9," - ")</f>
        <v>628</v>
      </c>
      <c r="BE9" s="693" t="str">
        <f>IF(ISNUMBER(Datos!BW9),Datos!BW9," - ")</f>
        <v xml:space="preserve"> - </v>
      </c>
      <c r="BF9" s="762" t="str">
        <f>IF(ISNUMBER(Datos!BX9),Datos!BX9," - ")</f>
        <v xml:space="preserve"> - </v>
      </c>
      <c r="BG9" s="763">
        <f>IF(ISNUMBER(IF(J_V="SI",Datos!K9/Datos!J9,(Datos!K9+Datos!AA9)/(Datos!J9+Datos!Z9))),IF(J_V="SI",Datos!K9/Datos!J9,(Datos!K9+Datos!AA9)/(Datos!J9+Datos!Z9))," - ")</f>
        <v>1.010465724751439</v>
      </c>
      <c r="BH9" s="764">
        <f>IF(ISNUMBER(((IF(J_V="SI",Datos!L9/Datos!K9,(Datos!L9+Datos!AB9)/(Datos!K9+Datos!AA9)))*11)/factor_trimestre),((IF(J_V="SI",Datos!L9/Datos!K9,(Datos!L9+Datos!AB9)/(Datos!K9+Datos!AA9)))*11)/factor_trimestre," - ")</f>
        <v>4.4417400310719843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1.7591556053094515E-3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136</v>
      </c>
      <c r="G10" s="543">
        <f>IF(ISNUMBER(Datos!I10),Datos!I10," - ")</f>
        <v>136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41</v>
      </c>
      <c r="AC10" s="547">
        <f>IF(ISNUMBER(Datos!Q10),Datos!Q10," - ")</f>
        <v>8</v>
      </c>
      <c r="AD10" s="549"/>
      <c r="AE10" s="563"/>
      <c r="AF10" s="551">
        <f>IF(ISNUMBER(Datos!L10),Datos!L10,"-")</f>
        <v>150</v>
      </c>
      <c r="AG10" s="549"/>
      <c r="AH10" s="549"/>
      <c r="AI10" s="549"/>
      <c r="AJ10" s="549"/>
      <c r="AK10" s="549"/>
      <c r="AL10" s="550"/>
      <c r="AM10" s="766">
        <f>IF(ISNUMBER(Datos!R10),Datos!R10," - ")</f>
        <v>156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30</v>
      </c>
      <c r="BD10" s="693">
        <f>IF(ISNUMBER(Datos!N10),Datos!N10," - ")</f>
        <v>14</v>
      </c>
      <c r="BE10" s="693" t="str">
        <f>IF(ISNUMBER(Datos!BW10),Datos!BW10," - ")</f>
        <v xml:space="preserve"> - </v>
      </c>
      <c r="BF10" s="762" t="str">
        <f>IF(ISNUMBER(Datos!BX10),Datos!BX10," - ")</f>
        <v xml:space="preserve"> - </v>
      </c>
      <c r="BG10" s="763">
        <f>IF(ISNUMBER(Datos!K10/Datos!J10),Datos!K10/Datos!J10," - ")</f>
        <v>0.74545454545454548</v>
      </c>
      <c r="BH10" s="764">
        <f>IF(ISNUMBER(((Datos!L10/Datos!K10)*11)/factor_trimestre),((Datos!L10/Datos!K10)*11)/factor_trimestre," - ")</f>
        <v>10.975609756097562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5.4054054054054057E-2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117</v>
      </c>
      <c r="O11" s="549"/>
      <c r="P11" s="549"/>
      <c r="Q11" s="547">
        <f>IF(ISNUMBER(Datos!P11),Datos!P11,0)</f>
        <v>38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37</v>
      </c>
      <c r="AD11" s="549"/>
      <c r="AE11" s="563"/>
      <c r="AF11" s="551" t="str">
        <f>IF(ISNUMBER(IF(J_V="SI",Datos!L11,Datos!L11+Datos!AB11)-IF(Monitorios="SI",Datos!CD11,0)),
                          IF(J_V="SI",Datos!L11,Datos!L11+Datos!AB11)-IF(Monitorios="SI",Datos!CD11,0),
                          " - ")</f>
        <v xml:space="preserve"> - </v>
      </c>
      <c r="AG11" s="549"/>
      <c r="AH11" s="549">
        <f>IF(ISNUMBER(Datos!AB11),Datos!AB11,"-")</f>
        <v>56</v>
      </c>
      <c r="AI11" s="549"/>
      <c r="AJ11" s="549"/>
      <c r="AK11" s="549"/>
      <c r="AL11" s="550"/>
      <c r="AM11" s="766">
        <f>IF(ISNUMBER(Datos!R11),Datos!R11," - ")</f>
        <v>513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121</v>
      </c>
      <c r="BD11" s="693">
        <f>IF(ISNUMBER(Datos!N11),Datos!N11," - ")</f>
        <v>255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1.1263157894736842</v>
      </c>
      <c r="BH11" s="764">
        <f>IF(ISNUMBER(((IF(J_V="SI",Datos!L11/Datos!K11,(Datos!L11+Datos!AB11)/(Datos!K11+Datos!AA11)))*11)/factor_trimestre),((IF(J_V="SI",Datos!L11/Datos!K11,(Datos!L11+Datos!AB11)/(Datos!K11+Datos!AA11)))*11)/factor_trimestre," - ")</f>
        <v>4.6471962616822431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1.953125E-3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-3.3898305084745763E-2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136</v>
      </c>
      <c r="G14" s="1197">
        <f t="shared" si="1"/>
        <v>136</v>
      </c>
      <c r="H14" s="1198">
        <f t="shared" si="1"/>
        <v>0</v>
      </c>
      <c r="I14" s="1197">
        <f t="shared" si="1"/>
        <v>0</v>
      </c>
      <c r="J14" s="1164">
        <f t="shared" si="1"/>
        <v>0</v>
      </c>
      <c r="K14" s="1164">
        <f t="shared" si="1"/>
        <v>0</v>
      </c>
      <c r="L14" s="1198">
        <f t="shared" si="1"/>
        <v>0</v>
      </c>
      <c r="M14" s="1198">
        <f t="shared" si="1"/>
        <v>0</v>
      </c>
      <c r="N14" s="1198">
        <f t="shared" si="1"/>
        <v>199</v>
      </c>
      <c r="O14" s="1199">
        <f t="shared" si="1"/>
        <v>0</v>
      </c>
      <c r="P14" s="1199">
        <f t="shared" si="1"/>
        <v>0</v>
      </c>
      <c r="Q14" s="1198">
        <f t="shared" si="1"/>
        <v>623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41</v>
      </c>
      <c r="AC14" s="1198">
        <f t="shared" si="2"/>
        <v>605</v>
      </c>
      <c r="AD14" s="1198">
        <f t="shared" si="2"/>
        <v>0</v>
      </c>
      <c r="AE14" s="1198">
        <f t="shared" si="2"/>
        <v>0</v>
      </c>
      <c r="AF14" s="1198">
        <f t="shared" si="2"/>
        <v>150</v>
      </c>
      <c r="AG14" s="1198">
        <f t="shared" si="2"/>
        <v>0</v>
      </c>
      <c r="AH14" s="1198">
        <f t="shared" si="2"/>
        <v>94</v>
      </c>
      <c r="AI14" s="1198">
        <f t="shared" si="2"/>
        <v>0</v>
      </c>
      <c r="AJ14" s="1198">
        <f t="shared" si="2"/>
        <v>0</v>
      </c>
      <c r="AK14" s="1198">
        <f t="shared" si="2"/>
        <v>0</v>
      </c>
      <c r="AL14" s="1198">
        <f t="shared" si="2"/>
        <v>0</v>
      </c>
      <c r="AM14" s="1198">
        <f t="shared" si="2"/>
        <v>6990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699</v>
      </c>
      <c r="BD14" s="1198">
        <f t="shared" si="2"/>
        <v>897</v>
      </c>
      <c r="BE14" s="1198">
        <f t="shared" si="2"/>
        <v>0</v>
      </c>
      <c r="BF14" s="1198">
        <f t="shared" si="2"/>
        <v>0</v>
      </c>
      <c r="BG14" s="1198">
        <f>IF(ISNUMBER(Datos!K14/Datos!J14),Datos!K14/Datos!J14," - ")</f>
        <v>1.0265486725663717</v>
      </c>
      <c r="BH14" s="1202">
        <f>IF(ISNUMBER(((Datos!L14/Datos!K14)*11)/factor_trimestre),((Datos!L14/Datos!K14)*11)/factor_trimestre," - ")</f>
        <v>4.871597096188748</v>
      </c>
      <c r="BI14" s="1198">
        <f>IF(ISNUMBER('Resol  Asuntos'!D14/NºAsuntos!G14),'Resol  Asuntos'!D14/NºAsuntos!G14," - ")</f>
        <v>0.29125000000000001</v>
      </c>
      <c r="BJ14" s="1198" t="str">
        <f>IF(ISNUMBER(Datos!CI14/Datos!CJ14),Datos!CI14/Datos!CJ14," - ")</f>
        <v xml:space="preserve"> - </v>
      </c>
      <c r="BK14" s="1198">
        <f>SUBTOTAL(9,BK8:BK13)</f>
        <v>0</v>
      </c>
      <c r="BL14" s="1198">
        <f>IF(ISNUMBER((I14-AB14+L14)/(F14)),(I14-AB14+L14)/(F14)," - ")</f>
        <v>-0.3014705882352941</v>
      </c>
      <c r="BM14" s="1203">
        <f>SUBTOTAL(9,BM9:BM13)</f>
        <v>2.3868029574617748E-2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1762</v>
      </c>
      <c r="G16" s="743">
        <f>IF(ISNUMBER(IF(D_I="SI",Datos!I16,Datos!I16+Datos!AC16)),IF(D_I="SI",Datos!I16,Datos!I16+Datos!AC16)," - ")</f>
        <v>1752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1635</v>
      </c>
      <c r="AC16" s="240">
        <f>IF(ISNUMBER(Datos!Q16),Datos!Q16," - ")</f>
        <v>86</v>
      </c>
      <c r="AD16" s="374"/>
      <c r="AE16" s="562"/>
      <c r="AF16" s="741">
        <f>IF(ISNUMBER(IF(D_I="SI",Datos!L16,Datos!L16+Datos!AF16)),IF(D_I="SI",Datos!L16,Datos!L16+Datos!AF16)," - ")</f>
        <v>1760</v>
      </c>
      <c r="AG16" s="374"/>
      <c r="AH16" s="374"/>
      <c r="AI16" s="374"/>
      <c r="AJ16" s="549"/>
      <c r="AK16" s="374"/>
      <c r="AL16" s="545"/>
      <c r="AM16" s="375">
        <f>IF(ISNUMBER(Datos!R16),Datos!R16," - ")</f>
        <v>268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322</v>
      </c>
      <c r="BD16" s="243">
        <f>IF(ISNUMBER(Datos!N16),Datos!N16," - ")</f>
        <v>808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1.0012247397428047</v>
      </c>
      <c r="BH16" s="764">
        <f>IF(ISNUMBER(((IF(D_I="SI",Datos!L16/Datos!K16,(Datos!L16+Datos!AF16)/(Datos!K16+Datos!AE16)))*11)/factor_trimestre),((IF(D_I="SI",Datos!L16/Datos!K16,(Datos!L16+Datos!AF16)/(Datos!K16+Datos!AE16)))*11)/factor_trimestre," - ")</f>
        <v>3.2293577981651378</v>
      </c>
      <c r="BI16" s="266">
        <f>IF(ISNUMBER('Resol  Asuntos'!D16/NºAsuntos!G16),'Resol  Asuntos'!D16/NºAsuntos!G16," - ")</f>
        <v>0.19694189602446482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236</v>
      </c>
      <c r="AC18" s="547">
        <f>IF(ISNUMBER(Datos!Q18),Datos!Q18," - ")</f>
        <v>1</v>
      </c>
      <c r="AD18" s="549"/>
      <c r="AE18" s="562"/>
      <c r="AF18" s="551">
        <f>IF(ISNUMBER(Datos!L18),Datos!L18,"-")</f>
        <v>223</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36</v>
      </c>
      <c r="BD18" s="693">
        <f>IF(ISNUMBER(Datos!N18),Datos!N18," - ")</f>
        <v>117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1.0396475770925111</v>
      </c>
      <c r="BH18" s="764">
        <f>IF(ISNUMBER(((IF(D_I="SI",Datos!L18/Datos!K18,(Datos!L18+Datos!AF18)/(Datos!K18+Datos!AE18)))*11)/factor_trimestre),((IF(D_I="SI",Datos!L18/Datos!K18,(Datos!L18+Datos!AF18)/(Datos!K18+Datos!AE18)))*11)/factor_trimestre," - ")</f>
        <v>2.8347457627118646</v>
      </c>
      <c r="BI18" s="763">
        <f>IF(ISNUMBER('Resol  Asuntos'!D18/NºAsuntos!G18),'Resol  Asuntos'!D18/NºAsuntos!G18," - ")</f>
        <v>0.15254237288135594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f>IF(ISNUMBER(Datos!L20+Datos!K20-Datos!J20-L20),Datos!L20+Datos!K20-Datos!J20-L20," - ")</f>
        <v>324</v>
      </c>
      <c r="G20" s="743">
        <f>IF(ISNUMBER(Datos!I20),Datos!I20," - ")</f>
        <v>324</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f>IF(ISNUMBER(Datos!K20),Datos!K20," - ")</f>
        <v>302</v>
      </c>
      <c r="AC20" s="547" t="str">
        <f>IF(ISNUMBER(Datos!Q20),Datos!Q20," - ")</f>
        <v xml:space="preserve"> - </v>
      </c>
      <c r="AD20" s="374"/>
      <c r="AE20" s="562"/>
      <c r="AF20" s="741">
        <f>IF(ISNUMBER(Datos!L20),Datos!L20,"-")</f>
        <v>241</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f>IF(ISNUMBER(Datos!N20),Datos!N20," - ")</f>
        <v>243</v>
      </c>
      <c r="BE20" s="243"/>
      <c r="BF20" s="242" t="str">
        <f>IF(ISNUMBER(Datos!BX20),Datos!BX20," - ")</f>
        <v xml:space="preserve"> - </v>
      </c>
      <c r="BG20" s="763">
        <f>IF(ISNUMBER(Datos!K20/Datos!J20),Datos!K20/Datos!J20," - ")</f>
        <v>1.3789954337899544</v>
      </c>
      <c r="BH20" s="764">
        <f>IF(ISNUMBER(((Datos!L20/Datos!K20)*11)/factor_trimestre),((Datos!L20/Datos!K20)*11)/factor_trimestre," - ")</f>
        <v>2.3940397350993377</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2086</v>
      </c>
      <c r="G23" s="1197">
        <f>SUBTOTAL(9,G16:G22)</f>
        <v>2307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2173</v>
      </c>
      <c r="AC23" s="1198">
        <f t="shared" si="5"/>
        <v>87</v>
      </c>
      <c r="AD23" s="1198">
        <f t="shared" si="5"/>
        <v>0</v>
      </c>
      <c r="AE23" s="1198">
        <f t="shared" si="5"/>
        <v>0</v>
      </c>
      <c r="AF23" s="1198">
        <f t="shared" si="5"/>
        <v>2224</v>
      </c>
      <c r="AG23" s="1198">
        <f t="shared" si="5"/>
        <v>0</v>
      </c>
      <c r="AH23" s="1198">
        <f t="shared" si="5"/>
        <v>0</v>
      </c>
      <c r="AI23" s="1198">
        <f t="shared" si="5"/>
        <v>0</v>
      </c>
      <c r="AJ23" s="1198">
        <f t="shared" si="5"/>
        <v>0</v>
      </c>
      <c r="AK23" s="1198">
        <f t="shared" si="5"/>
        <v>0</v>
      </c>
      <c r="AL23" s="1198">
        <f t="shared" si="5"/>
        <v>0</v>
      </c>
      <c r="AM23" s="1198">
        <f t="shared" si="5"/>
        <v>276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358</v>
      </c>
      <c r="BD23" s="1198">
        <f t="shared" si="5"/>
        <v>1168</v>
      </c>
      <c r="BE23" s="1198">
        <f t="shared" si="5"/>
        <v>0</v>
      </c>
      <c r="BF23" s="1198">
        <f t="shared" si="5"/>
        <v>0</v>
      </c>
      <c r="BG23" s="1198">
        <f>IF(ISNUMBER(Datos!K23/Datos!J23),Datos!K23/Datos!J23," - ")</f>
        <v>1.0452140452140453</v>
      </c>
      <c r="BH23" s="1202">
        <f>IF(ISNUMBER(((Datos!L23/Datos!K23)*11)/factor_trimestre),((Datos!L23/Datos!K23)*11)/factor_trimestre," - ")</f>
        <v>3.0704095720202491</v>
      </c>
      <c r="BI23" s="1198">
        <f>SUBTOTAL(9,BI16:BI22)</f>
        <v>0.34948426890582074</v>
      </c>
      <c r="BJ23" s="1198">
        <f>SUBTOTAL(9,BJ16:BJ22)</f>
        <v>0</v>
      </c>
      <c r="BK23" s="1198">
        <f>SUBTOTAL(9,BK16:BK22)</f>
        <v>0</v>
      </c>
      <c r="BL23" s="1198">
        <f>IF(ISNUMBER((I23-AB23+L23)/(F23)),(I23-AB23+L23)/(F23)," - ")</f>
        <v>-1.0417066155321189</v>
      </c>
      <c r="BM23" s="1205">
        <f>IF(ISNUMBER((Datos!P23-Datos!Q23)/(Datos!R23-Datos!P23+Datos!Q23)),(Datos!P23-Datos!Q23)/(Datos!R23-Datos!P23+Datos!Q23)," - ")</f>
        <v>9.9601593625498003E-2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2222</v>
      </c>
      <c r="G31" s="1117">
        <f t="shared" si="18"/>
        <v>2443</v>
      </c>
      <c r="H31" s="1119">
        <f t="shared" si="18"/>
        <v>0</v>
      </c>
      <c r="I31" s="1117">
        <f t="shared" si="18"/>
        <v>0</v>
      </c>
      <c r="J31" s="1119">
        <f t="shared" si="18"/>
        <v>0</v>
      </c>
      <c r="K31" s="1119">
        <f t="shared" si="18"/>
        <v>0</v>
      </c>
      <c r="L31" s="1180">
        <f t="shared" si="18"/>
        <v>0</v>
      </c>
      <c r="M31" s="1180">
        <f t="shared" si="18"/>
        <v>0</v>
      </c>
      <c r="N31" s="1180">
        <f t="shared" si="18"/>
        <v>199</v>
      </c>
      <c r="O31" s="1180">
        <f t="shared" si="18"/>
        <v>0</v>
      </c>
      <c r="P31" s="1180">
        <f t="shared" si="18"/>
        <v>0</v>
      </c>
      <c r="Q31" s="1119">
        <f t="shared" si="18"/>
        <v>735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2214</v>
      </c>
      <c r="AC31" s="1118">
        <f t="shared" si="19"/>
        <v>692</v>
      </c>
      <c r="AD31" s="1118">
        <f t="shared" si="19"/>
        <v>0</v>
      </c>
      <c r="AE31" s="1118">
        <f t="shared" si="19"/>
        <v>0</v>
      </c>
      <c r="AF31" s="1125">
        <f t="shared" si="19"/>
        <v>2374</v>
      </c>
      <c r="AG31" s="1125">
        <f t="shared" si="19"/>
        <v>0</v>
      </c>
      <c r="AH31" s="1125">
        <f t="shared" si="19"/>
        <v>94</v>
      </c>
      <c r="AI31" s="1125">
        <f t="shared" si="19"/>
        <v>0</v>
      </c>
      <c r="AJ31" s="1118">
        <f t="shared" si="19"/>
        <v>0</v>
      </c>
      <c r="AK31" s="1125">
        <f t="shared" si="19"/>
        <v>0</v>
      </c>
      <c r="AL31" s="1125">
        <f t="shared" si="19"/>
        <v>0</v>
      </c>
      <c r="AM31" s="1125">
        <f t="shared" si="19"/>
        <v>7266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1057</v>
      </c>
      <c r="BD31" s="1117">
        <f t="shared" si="19"/>
        <v>2065</v>
      </c>
      <c r="BE31" s="1117">
        <f t="shared" si="19"/>
        <v>0</v>
      </c>
      <c r="BF31" s="1127">
        <f t="shared" si="19"/>
        <v>0</v>
      </c>
      <c r="BG31" s="1223">
        <f>IF(ISNUMBER(Datos!K31/Datos!J31),Datos!K31/Datos!J31," - ")</f>
        <v>1.0357311878845243</v>
      </c>
      <c r="BH31" s="1223">
        <f>IF(ISNUMBER(((Datos!L31/Datos!K31)*11)/factor_trimestre),((Datos!L31/Datos!K31)*11)/factor_trimestre," - ")</f>
        <v>3.9773817683344759</v>
      </c>
      <c r="BI31" s="1103">
        <f>IF(ISNUMBER(Datos!J31/Datos!I31),Datos!J31/Datos!I31," - ")</f>
        <v>0.71108867575298673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-0.99639963996399639</v>
      </c>
      <c r="BM31" s="1188">
        <f>IF(ISNUMBER((Datos!P31-Datos!Q31+R31)/(Datos!R31-Datos!P31+Datos!Q31-R31)),(Datos!P31-Datos!Q31+R31)/(Datos!R31-Datos!P31+Datos!Q31-R31)," - ")</f>
        <v>5.9532050394572895E-3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610.75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2.3295709014312749</v>
      </c>
      <c r="F33" s="673">
        <f>IF(ISNUMBER(STDEV(F8:F30)),STDEV(F8:F30),"-")</f>
        <v>892.2539676892128</v>
      </c>
      <c r="G33" s="674">
        <f>IF(ISNUMBER(STDEV(G8:G30)),STDEV(G8:G30),"-")</f>
        <v>894.66334450451245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853.10508480156511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256.18795183744817</v>
      </c>
      <c r="BD33" s="673"/>
      <c r="BE33" s="673">
        <f>IF(ISNUMBER(STDEV(BE8:BE30)),STDEV(BE8:BE30),"-")</f>
        <v>0</v>
      </c>
      <c r="BF33" s="678">
        <f>IF(ISNUMBER(STDEV(BF8:BF30)),STDEV(BF8:BF30),"-")</f>
        <v>0</v>
      </c>
      <c r="BG33" s="1052">
        <f>IF(ISNUMBER(STDEV(BG8:BG30)),STDEV(BG8:BG30),"-")</f>
        <v>0.17375955759196768</v>
      </c>
      <c r="BH33" s="1058">
        <f>IF(ISNUMBER(STDEV(BH8:BH30)),STDEV(BH8:BH30),"-")</f>
        <v>2.7499629864919393</v>
      </c>
      <c r="BI33" s="273">
        <f>IF(ISNUMBER(STDEV(BI8:BI30)),STDEV(BI8:BI30),"-")</f>
        <v>8.923361565793736E-2</v>
      </c>
      <c r="BJ33" s="244" t="str">
        <f>IF(ISNUMBER(BL33/BM33),BL33/BM33," - ")</f>
        <v xml:space="preserve"> - </v>
      </c>
      <c r="BK33" s="709"/>
      <c r="BL33" s="681">
        <f>IF(ISNUMBER(STDEV(BL8:BL30)),STDEV(BL8:BL30),"-")</f>
        <v>0.52342591458017473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EAB5ITqYwwFmfzPFLp3nL9DvgGN/7ZS5O2FnrokGWNGhnlDFazGjNDS3vsjDH4VRbdJBNOPjfHSc/+ISPAAkw==" saltValue="HTmmJfxVRu3DEgO8HgN9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LOGROÑO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2 al 2</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569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558</v>
      </c>
      <c r="AA9" s="551" t="str">
        <f>IF(ISNUMBER(IF(J_V="SI",Datos!L9,Datos!L9+Datos!AB9)-IF(Monitorios="SI",Datos!CD9,0)),
                          IF(J_V="SI",Datos!L9,Datos!L9+Datos!AB9)-IF(Monitorios="SI",Datos!CD9,0),
                          " - ")</f>
        <v xml:space="preserve"> - </v>
      </c>
      <c r="AB9" s="549"/>
      <c r="AC9" s="549"/>
      <c r="AD9" s="563"/>
      <c r="AE9" s="563">
        <f>IF(ISNUMBER(Datos!R9),Datos!R9," - ")</f>
        <v>6264</v>
      </c>
      <c r="AF9" s="693" t="str">
        <f>IF(ISNUMBER(Datos!BV9),Datos!BV9," - ")</f>
        <v xml:space="preserve"> - </v>
      </c>
      <c r="AG9" s="552" t="str">
        <f>IF(ISNUMBER(Datos!DV9),Datos!DV9," - ")</f>
        <v xml:space="preserve"> - </v>
      </c>
      <c r="AH9" s="553"/>
      <c r="AI9" s="554"/>
      <c r="AJ9" s="552">
        <f>IF(ISNUMBER(Datos!M9),Datos!M9," - ")</f>
        <v>548</v>
      </c>
      <c r="AK9" s="693">
        <f>IF(ISNUMBER(Datos!N9),Datos!N9," - ")</f>
        <v>628</v>
      </c>
      <c r="AL9" s="693" t="str">
        <f>IF(ISNUMBER(Datos!BW9),Datos!BW9," - ")</f>
        <v xml:space="preserve"> - </v>
      </c>
      <c r="AM9" s="762" t="str">
        <f>IF(ISNUMBER(Datos!BX9),Datos!BX9," - ")</f>
        <v xml:space="preserve"> - </v>
      </c>
      <c r="AN9" s="763"/>
      <c r="AO9" s="764">
        <f>IF(ISNUMBER(((NºAsuntos!I9/NºAsuntos!G9)*11)/factor_trimestre),((NºAsuntos!I9/NºAsuntos!G9)*11)/factor_trimestre," - ")</f>
        <v>4.4417400310719843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1.7591556053094515E-3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136</v>
      </c>
      <c r="G10" s="552">
        <f>IF(ISNUMBER(Datos!I10),Datos!I10," - ")</f>
        <v>136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41</v>
      </c>
      <c r="Z10" s="805">
        <f>IF(ISNUMBER(Datos!Q10),Datos!Q10," - ")</f>
        <v>8</v>
      </c>
      <c r="AA10" s="551">
        <f>IF(ISNUMBER(Datos!L10),Datos!L10,"-")</f>
        <v>150</v>
      </c>
      <c r="AB10" s="549"/>
      <c r="AC10" s="549"/>
      <c r="AD10" s="563"/>
      <c r="AE10" s="563">
        <f>IF(ISNUMBER(Datos!R10),Datos!R10," - ")</f>
        <v>156</v>
      </c>
      <c r="AF10" s="693" t="str">
        <f>IF(ISNUMBER(Datos!BV10),Datos!BV10," - ")</f>
        <v xml:space="preserve"> - </v>
      </c>
      <c r="AG10" s="552" t="str">
        <f>IF(ISNUMBER(Datos!DV10),Datos!DV10," - ")</f>
        <v xml:space="preserve"> - </v>
      </c>
      <c r="AH10" s="553"/>
      <c r="AI10" s="554"/>
      <c r="AJ10" s="552">
        <f>IF(ISNUMBER(Datos!M10),Datos!M10," - ")</f>
        <v>30</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10.975609756097562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5.4054054054054057E-2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37</v>
      </c>
      <c r="AA11" s="551" t="str">
        <f>IF(ISNUMBER(IF(J_V="SI",Datos!L11,Datos!L11+Datos!AB11)-IF(Monitorios="SI",Datos!CD11,0)),
                          IF(J_V="SI",Datos!L11,Datos!L11+Datos!AB11)-IF(Monitorios="SI",Datos!CD11,0),
                          " - ")</f>
        <v xml:space="preserve"> - </v>
      </c>
      <c r="AB11" s="549"/>
      <c r="AC11" s="549"/>
      <c r="AD11" s="563"/>
      <c r="AE11" s="563">
        <f>IF(ISNUMBER(Datos!R11),Datos!R11," - ")</f>
        <v>513</v>
      </c>
      <c r="AF11" s="693" t="str">
        <f>IF(ISNUMBER(Datos!BV11),Datos!BV11," - ")</f>
        <v xml:space="preserve"> - </v>
      </c>
      <c r="AG11" s="552" t="str">
        <f>IF(ISNUMBER(Datos!DV11),Datos!DV11," - ")</f>
        <v xml:space="preserve"> - </v>
      </c>
      <c r="AH11" s="553"/>
      <c r="AI11" s="554"/>
      <c r="AJ11" s="552">
        <f>IF(ISNUMBER(Datos!M11),Datos!M11," - ")</f>
        <v>121</v>
      </c>
      <c r="AK11" s="693">
        <f>IF(ISNUMBER(Datos!N11),Datos!N11," - ")</f>
        <v>255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4.6471962616822431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1.953125E-3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57</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-3.3898305084745763E-2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136</v>
      </c>
      <c r="G14" s="1197">
        <f>SUBTOTAL(9,G8:G13)</f>
        <v>136</v>
      </c>
      <c r="H14" s="1211"/>
      <c r="I14" s="1197">
        <f t="shared" ref="I14:N14" si="1">SUBTOTAL(9,I8:I13)</f>
        <v>0</v>
      </c>
      <c r="J14" s="1164">
        <f t="shared" si="1"/>
        <v>0</v>
      </c>
      <c r="K14" s="1211">
        <f t="shared" si="1"/>
        <v>0</v>
      </c>
      <c r="L14" s="1211">
        <f t="shared" si="1"/>
        <v>0</v>
      </c>
      <c r="M14" s="1211">
        <f t="shared" si="1"/>
        <v>0</v>
      </c>
      <c r="N14" s="1211">
        <f t="shared" si="1"/>
        <v>623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41</v>
      </c>
      <c r="Z14" s="1210">
        <f t="shared" si="3"/>
        <v>605</v>
      </c>
      <c r="AA14" s="1199">
        <f t="shared" si="3"/>
        <v>150</v>
      </c>
      <c r="AB14" s="1199">
        <f t="shared" si="3"/>
        <v>0</v>
      </c>
      <c r="AC14" s="1199">
        <f t="shared" si="3"/>
        <v>0</v>
      </c>
      <c r="AD14" s="1199">
        <f t="shared" si="3"/>
        <v>0</v>
      </c>
      <c r="AE14" s="1199">
        <f t="shared" si="3"/>
        <v>6990</v>
      </c>
      <c r="AF14" s="1211">
        <f t="shared" si="3"/>
        <v>0</v>
      </c>
      <c r="AG14" s="1211">
        <f t="shared" si="3"/>
        <v>0</v>
      </c>
      <c r="AH14" s="1211">
        <f t="shared" si="3"/>
        <v>0</v>
      </c>
      <c r="AI14" s="1211">
        <f t="shared" si="3"/>
        <v>0</v>
      </c>
      <c r="AJ14" s="1211">
        <f t="shared" si="3"/>
        <v>699</v>
      </c>
      <c r="AK14" s="1211">
        <f t="shared" si="3"/>
        <v>897</v>
      </c>
      <c r="AL14" s="1211">
        <f t="shared" si="3"/>
        <v>0</v>
      </c>
      <c r="AM14" s="1211">
        <f t="shared" si="3"/>
        <v>0</v>
      </c>
      <c r="AN14" s="1211">
        <f t="shared" si="3"/>
        <v>0</v>
      </c>
      <c r="AO14" s="1203">
        <f>IF(ISNUMBER(((NºAsuntos!I14/NºAsuntos!G14)*11)/factor_trimestre),((NºAsuntos!I14/NºAsuntos!G14)*11)/factor_trimestre," - ")</f>
        <v>4.5912500000000005</v>
      </c>
      <c r="AP14" s="1213" t="str">
        <f>IF(ISNUMBER(Datos!CI14/Datos!CJ14),Datos!CI14/Datos!CJ14," - ")</f>
        <v xml:space="preserve"> - </v>
      </c>
      <c r="AQ14" s="1236">
        <f t="shared" ref="AQ14:AV14" si="4">SUBTOTAL(9,AQ9:AQ13)</f>
        <v>0</v>
      </c>
      <c r="AR14" s="1236">
        <f t="shared" si="4"/>
        <v>2.3868029574617748E-2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1762</v>
      </c>
      <c r="G16" s="552">
        <f>IF(ISNUMBER(IF(D_I="SI",Datos!I16,Datos!I16+Datos!AC16)),IF(D_I="SI",Datos!I16,Datos!I16+Datos!AC16)," - ")</f>
        <v>1752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1635</v>
      </c>
      <c r="Z16" s="805">
        <f>IF(ISNUMBER(Datos!Q16),Datos!Q16," - ")</f>
        <v>86</v>
      </c>
      <c r="AA16" s="551">
        <f>IF(ISNUMBER(IF(D_I="SI",Datos!L16,Datos!L16+Datos!AF16)),IF(D_I="SI",Datos!L16,Datos!L16+Datos!AF16)," - ")</f>
        <v>1760</v>
      </c>
      <c r="AB16" s="549"/>
      <c r="AC16" s="549"/>
      <c r="AD16" s="563"/>
      <c r="AE16" s="563">
        <f>IF(ISNUMBER(Datos!R16),Datos!R16," - ")</f>
        <v>268</v>
      </c>
      <c r="AF16" s="693" t="str">
        <f>IF(ISNUMBER(Datos!BV16),Datos!BV16," - ")</f>
        <v xml:space="preserve"> - </v>
      </c>
      <c r="AG16" s="552"/>
      <c r="AH16" s="553"/>
      <c r="AI16" s="554"/>
      <c r="AJ16" s="552">
        <f>IF(ISNUMBER(Datos!M16),Datos!M16," - ")</f>
        <v>322</v>
      </c>
      <c r="AK16" s="693">
        <f>IF(ISNUMBER(Datos!N16),Datos!N16," - ")</f>
        <v>808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3.2293577981651378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236</v>
      </c>
      <c r="Z18" s="805">
        <f>IF(ISNUMBER(Datos!Q18),Datos!Q18," - ")</f>
        <v>1</v>
      </c>
      <c r="AA18" s="551">
        <f>IF(ISNUMBER(Datos!L18),Datos!L18,"-")</f>
        <v>223</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36</v>
      </c>
      <c r="AK18" s="693">
        <f>IF(ISNUMBER(Datos!N18),Datos!N18," - ")</f>
        <v>117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2.8347457627118646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1762</v>
      </c>
      <c r="G23" s="1197">
        <f>SUBTOTAL(9,G16:G22)</f>
        <v>1983</v>
      </c>
      <c r="H23" s="1240">
        <f>SUBTOTAL(9,H16:H22)</f>
        <v>0</v>
      </c>
      <c r="I23" s="1217">
        <f>SUBTOTAL(9,I16:I22)</f>
        <v>0</v>
      </c>
      <c r="J23" s="1164">
        <f>SUBTOTAL(9,J15:J22)</f>
        <v>0</v>
      </c>
      <c r="K23" s="1240">
        <f t="shared" ref="K23:S23" si="5">SUBTOTAL(9,K16:K22)</f>
        <v>0</v>
      </c>
      <c r="L23" s="1240">
        <f t="shared" si="5"/>
        <v>0</v>
      </c>
      <c r="M23" s="1240">
        <f t="shared" si="5"/>
        <v>0</v>
      </c>
      <c r="N23" s="1240">
        <f t="shared" si="5"/>
        <v>112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1871</v>
      </c>
      <c r="Z23" s="1240">
        <f t="shared" si="6"/>
        <v>87</v>
      </c>
      <c r="AA23" s="1240">
        <f t="shared" si="6"/>
        <v>1983</v>
      </c>
      <c r="AB23" s="1240">
        <f t="shared" si="6"/>
        <v>0</v>
      </c>
      <c r="AC23" s="1240">
        <f t="shared" si="6"/>
        <v>0</v>
      </c>
      <c r="AD23" s="1240">
        <f t="shared" si="6"/>
        <v>0</v>
      </c>
      <c r="AE23" s="1240">
        <f t="shared" si="6"/>
        <v>276</v>
      </c>
      <c r="AF23" s="1240">
        <f t="shared" si="6"/>
        <v>0</v>
      </c>
      <c r="AG23" s="1240">
        <f t="shared" si="6"/>
        <v>0</v>
      </c>
      <c r="AH23" s="1240">
        <f t="shared" si="6"/>
        <v>0</v>
      </c>
      <c r="AI23" s="1240">
        <f t="shared" si="6"/>
        <v>0</v>
      </c>
      <c r="AJ23" s="1240">
        <f t="shared" si="6"/>
        <v>358</v>
      </c>
      <c r="AK23" s="1240">
        <f t="shared" si="6"/>
        <v>925</v>
      </c>
      <c r="AL23" s="1240">
        <f t="shared" si="6"/>
        <v>0</v>
      </c>
      <c r="AM23" s="1240">
        <f t="shared" si="6"/>
        <v>0</v>
      </c>
      <c r="AN23" s="1240">
        <f t="shared" si="6"/>
        <v>0</v>
      </c>
      <c r="AO23" s="1242">
        <f>IF(ISNUMBER(((NºAsuntos!I23/NºAsuntos!G23)*11)/factor_trimestre),((NºAsuntos!I23/NºAsuntos!G23)*11)/factor_trimestre," - ")</f>
        <v>3.0704095720202491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1898</v>
      </c>
      <c r="G31" s="1117">
        <f t="shared" si="12"/>
        <v>2119</v>
      </c>
      <c r="H31" s="1118">
        <f t="shared" si="12"/>
        <v>0</v>
      </c>
      <c r="I31" s="1117">
        <f t="shared" si="12"/>
        <v>0</v>
      </c>
      <c r="J31" s="1119">
        <f t="shared" si="12"/>
        <v>0</v>
      </c>
      <c r="K31" s="1117">
        <f t="shared" si="12"/>
        <v>0</v>
      </c>
      <c r="L31" s="1120">
        <f t="shared" si="12"/>
        <v>0</v>
      </c>
      <c r="M31" s="1117">
        <f t="shared" si="12"/>
        <v>0</v>
      </c>
      <c r="N31" s="1118">
        <f t="shared" si="12"/>
        <v>735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1912</v>
      </c>
      <c r="Z31" s="1124">
        <f t="shared" si="13"/>
        <v>692</v>
      </c>
      <c r="AA31" s="1125">
        <f t="shared" si="13"/>
        <v>2133</v>
      </c>
      <c r="AB31" s="1125">
        <f t="shared" si="13"/>
        <v>0</v>
      </c>
      <c r="AC31" s="1125">
        <f t="shared" si="13"/>
        <v>0</v>
      </c>
      <c r="AD31" s="1126">
        <f t="shared" si="13"/>
        <v>0</v>
      </c>
      <c r="AE31" s="1126">
        <f t="shared" si="13"/>
        <v>7266</v>
      </c>
      <c r="AF31" s="1127">
        <f t="shared" si="13"/>
        <v>0</v>
      </c>
      <c r="AG31" s="1128">
        <f t="shared" si="13"/>
        <v>0</v>
      </c>
      <c r="AH31" s="1129">
        <f t="shared" si="13"/>
        <v>0</v>
      </c>
      <c r="AI31" s="1127">
        <f t="shared" si="13"/>
        <v>0</v>
      </c>
      <c r="AJ31" s="1117">
        <f t="shared" si="13"/>
        <v>1057</v>
      </c>
      <c r="AK31" s="1117">
        <f t="shared" si="13"/>
        <v>1822</v>
      </c>
      <c r="AL31" s="1117">
        <f t="shared" si="13"/>
        <v>0</v>
      </c>
      <c r="AM31" s="1130">
        <f t="shared" si="13"/>
        <v>0</v>
      </c>
      <c r="AN31" s="1120">
        <f>IF(ISNUMBER(Datos!K31/Datos!J31),Datos!K31/Datos!J31," - ")</f>
        <v>1.0357311878845243</v>
      </c>
      <c r="AO31" s="1120">
        <f>IF(ISNUMBER(FIND("06",Criterios!A8,1)),(IF(ISNUMBER(((Datos!R31/Datos!Q31)*11)/factor_trimestre),((Datos!R31/Datos!Q31)*11)/factor_trimestre," - ")),(IF(ISNUMBER(((Datos!L31/Datos!K31)*11)/factor_trimestre),((Datos!L31/Datos!K31)*11)/factor_trimestre," - ")))</f>
        <v>3.9773817683344759</v>
      </c>
      <c r="AP31" s="1131" t="str">
        <f>IF(ISNUMBER(Datos!CI31/Datos!CJ31),Datos!CI31/Datos!CJ31," - ")</f>
        <v xml:space="preserve"> - </v>
      </c>
      <c r="AQ31" s="1131">
        <f>IF(OR(ISNUMBER(FIND("01",Criterios!A8,1)),ISNUMBER(FIND("02",Criterios!A8,1)),ISNUMBER(FIND("03",Criterios!A8,1)),ISNUMBER(FIND("04",Criterios!A8,1))),(J31-Y31+K31)/(F31-K31),(I31-Y31+K31)/(F31-K31))</f>
        <v>-1.0073761854583771</v>
      </c>
      <c r="AR31" s="1131">
        <f>IF(ISNUMBER((Datos!P31-Datos!Q31+O31)/(Datos!R31-Datos!P31+Datos!Q31-O31)),(Datos!P31-Datos!Q31+O31)/(Datos!R31-Datos!P31+Datos!Q31-O31)," - ")</f>
        <v>5.9532050394572895E-3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876.88965478369437</v>
      </c>
      <c r="G33" s="674">
        <f>IF(ISNUMBER(STDEV(G8:G30)),STDEV(G8:G30),"-")</f>
        <v>868.55624595126392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256.18795183744817</v>
      </c>
      <c r="AK33" s="276"/>
      <c r="AL33" s="276">
        <f>IF(ISNUMBER(STDEV(AL8:AL30)),STDEV(AL8:AL30),"-")</f>
        <v>0</v>
      </c>
      <c r="AM33" s="278">
        <f>IF(ISNUMBER(STDEV(AM8:AM30)),STDEV(AM8:AM30),"-")</f>
        <v>0</v>
      </c>
      <c r="AN33" s="660">
        <f>IF(ISNUMBER(STDEV(AN8:AN30)),STDEV(AN8:AN30),"-")</f>
        <v>0</v>
      </c>
      <c r="AO33" s="661">
        <f>IF(ISNUMBER(STDEV(AO8:AO30)),STDEV(AO8:AO30),"-")</f>
        <v>2.8180632196937698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RvI0HLiBAXrQGCtWHLZKN+B2ArLrsb2z8aBWQSB0ti8TXYclfHDDJTwZzava0ioVSo2lIQpZvSTxIXIPavLw==" saltValue="BacqUdpqab2eAGYwJYk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k8cJ+nniLJ32TgZ3pjpu7ppjdAlIMYcisXZ/KvovhxHsf3dhctQJoUktB/IV1TRxmCCODQgZRmshj3i577fQXQ==" saltValue="/BL/eaNEzxGikpZh6v7r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6PjW+enr97MMtehBgvd5qw+h/sliwmiwwLIP0pXXUBaZCDEngCRehHlCz6OkibqVVZAu0c2w1VZ9z9i9U3Jw==" saltValue="uFOqXrJcwt13Q9wh8IBT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LOGROÑO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0.29125000000000001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0.20594485002058197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I+E9PCBNDgfNSgmkWGc6DYAXbeDohou3/wg2Z9o9qoixv8MfTOBiQb0YJu+ZQbNK6IOLwU6tMkJ2B8bqWl90Q==" saltValue="a/+WCvtDQMCF2d2sJiK4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miE5EY9XRdgrrwtPQp487To8ma6gDbi0vMQNlIaMFt0iZeXNZFwwKG/PrjAL/3VfyoFQV71ChudZfT42c8oHrQ==" saltValue="DRCVkFg8h6Oiky4VthYw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LOGROÑO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2879</v>
      </c>
      <c r="D9" s="452">
        <f>IF(ISNUMBER(C9/Datos!BH9),C9/Datos!BH9," - ")</f>
        <v>479.83333333333331</v>
      </c>
      <c r="E9" s="451">
        <f>IF(ISNUMBER(IF(J_V="SI",Datos!J9,Datos!J9+Datos!Z9)),IF(J_V="SI",Datos!J9,Datos!J9+Datos!Z9)," - ")</f>
        <v>1911</v>
      </c>
      <c r="F9" s="452">
        <f>IF(ISNUMBER(E9/B9),E9/B9," - ")</f>
        <v>318.5</v>
      </c>
      <c r="G9" s="451">
        <f>IF(ISNUMBER(IF(J_V="SI",Datos!K9,Datos!K9+Datos!AA9)),IF(J_V="SI",Datos!K9,Datos!K9+Datos!AA9)," - ")</f>
        <v>1931</v>
      </c>
      <c r="H9" s="452">
        <f>IF(ISNUMBER(G9/B9),G9/B9," - ")</f>
        <v>321.83333333333331</v>
      </c>
      <c r="I9" s="451">
        <f>IF(ISNUMBER(IF(J_V="SI",Datos!L9,Datos!L9+Datos!AB9)),IF(J_V="SI",Datos!L9,Datos!L9+Datos!AB9)," - ")</f>
        <v>2859</v>
      </c>
      <c r="J9" s="452">
        <f>IF(ISNUMBER(I9/B9),I9/B9," - ")</f>
        <v>476.5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136</v>
      </c>
      <c r="D10" s="452">
        <f>IF(ISNUMBER(C10/Datos!BH10),C10/Datos!BH10," - ")</f>
        <v>136</v>
      </c>
      <c r="E10" s="451">
        <f>IF(ISNUMBER(Datos!J10),Datos!J10," - ")</f>
        <v>55</v>
      </c>
      <c r="F10" s="452">
        <f>IF(ISNUMBER(E10/B10),E10/B10," - ")</f>
        <v>55</v>
      </c>
      <c r="G10" s="451">
        <f>IF(ISNUMBER(Datos!K10),Datos!K10," - ")</f>
        <v>41</v>
      </c>
      <c r="H10" s="452">
        <f>IF(ISNUMBER(G10/B10),G10/B10," - ")</f>
        <v>41</v>
      </c>
      <c r="I10" s="451">
        <f>IF(ISNUMBER(Datos!L10),Datos!L10," - ")</f>
        <v>150</v>
      </c>
      <c r="J10" s="452">
        <f>IF(ISNUMBER(I10/B10),I10/B10," - ")</f>
        <v>150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711</v>
      </c>
      <c r="D11" s="452">
        <f>IF(ISNUMBER(C11/Datos!BH11),C11/Datos!BH11," - ")</f>
        <v>711</v>
      </c>
      <c r="E11" s="451">
        <f>IF(ISNUMBER(IF(J_V="SI",Datos!J11,Datos!J11+Datos!Z11)),IF(J_V="SI",Datos!J11,Datos!J11+Datos!Z11)," - ")</f>
        <v>380</v>
      </c>
      <c r="F11" s="452">
        <f>IF(ISNUMBER(E11/B11),E11/B11," - ")</f>
        <v>380</v>
      </c>
      <c r="G11" s="451">
        <f>IF(ISNUMBER(IF(J_V="SI",Datos!K11,Datos!K11+Datos!AA11)),IF(J_V="SI",Datos!K11,Datos!K11+Datos!AA11)," - ")</f>
        <v>428</v>
      </c>
      <c r="H11" s="452">
        <f>IF(ISNUMBER(G11/B11),G11/B11," - ")</f>
        <v>428</v>
      </c>
      <c r="I11" s="451">
        <f>IF(ISNUMBER(IF(J_V="SI",Datos!L11,Datos!L11+Datos!AB11)),IF(J_V="SI",Datos!L11,Datos!L11+Datos!AB11)," - ")</f>
        <v>663</v>
      </c>
      <c r="J11" s="452">
        <f>IF(ISNUMBER(I11/B11),I11/B11," - ")</f>
        <v>663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3727</v>
      </c>
      <c r="D14" s="1147" t="str">
        <f>IF(ISNUMBER(C14/Datos!BI14),C14/Datos!BI14," - ")</f>
        <v xml:space="preserve"> - </v>
      </c>
      <c r="E14" s="1146">
        <f>SUBTOTAL(9,E8:E13)</f>
        <v>2346</v>
      </c>
      <c r="F14" s="1147">
        <f>IF(ISNUMBER(E14/B14),E14/B14," - ")</f>
        <v>293.25</v>
      </c>
      <c r="G14" s="1146">
        <f>SUBTOTAL(9,G8:G13)</f>
        <v>2400</v>
      </c>
      <c r="H14" s="1147">
        <f>IF(ISNUMBER(G14/B14),G14/B14," - ")</f>
        <v>300</v>
      </c>
      <c r="I14" s="1146">
        <f>SUBTOTAL(9,I8:I13)</f>
        <v>3673</v>
      </c>
      <c r="J14" s="1147">
        <f>IF(ISNUMBER(I14/B14),I14/B14," - ")</f>
        <v>459.125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1752</v>
      </c>
      <c r="D16" s="452">
        <f>IF(ISNUMBER(C16/Datos!BH16),C16/Datos!BH16," - ")</f>
        <v>584</v>
      </c>
      <c r="E16" s="451">
        <f>IF(ISNUMBER(IF(D_I="SI",Datos!J16,Datos!J16+Datos!AD16)),IF(D_I="SI",Datos!J16,Datos!J16+Datos!AD16)," - ")</f>
        <v>1633</v>
      </c>
      <c r="F16" s="452">
        <f>IF(ISNUMBER(E16/B16),E16/B16," - ")</f>
        <v>544.33333333333337</v>
      </c>
      <c r="G16" s="451">
        <f>IF(ISNUMBER(IF(D_I="SI",Datos!K16,Datos!K16+Datos!AE16)),IF(D_I="SI",Datos!K16,Datos!K16+Datos!AE16)," - ")</f>
        <v>1635</v>
      </c>
      <c r="H16" s="452">
        <f>IF(ISNUMBER(G16/B16),G16/B16," - ")</f>
        <v>545</v>
      </c>
      <c r="I16" s="451">
        <f>IF(ISNUMBER(IF(D_I="SI",Datos!L16,Datos!L16+Datos!AF16)),IF(D_I="SI",Datos!L16,Datos!L16+Datos!AF16)," - ")</f>
        <v>1760</v>
      </c>
      <c r="J16" s="452">
        <f>IF(ISNUMBER(I16/B16),I16/B16," - ")</f>
        <v>586.66666666666663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231</v>
      </c>
      <c r="D18" s="452">
        <f>IF(ISNUMBER(C18/Datos!BH18),C18/Datos!BH18," - ")</f>
        <v>231</v>
      </c>
      <c r="E18" s="451">
        <f>IF(ISNUMBER(IF(D_I="SI",Datos!J18,Datos!J18+Datos!AD18)),IF(D_I="SI",Datos!J18,Datos!J18+Datos!AD18)," - ")</f>
        <v>227</v>
      </c>
      <c r="F18" s="452">
        <f>IF(ISNUMBER(E18/B18),E18/B18," - ")</f>
        <v>227</v>
      </c>
      <c r="G18" s="451">
        <f>IF(ISNUMBER(IF(D_I="SI",Datos!K18,Datos!K18+Datos!AE18)),IF(D_I="SI",Datos!K18,Datos!K18+Datos!AE18)," - ")</f>
        <v>236</v>
      </c>
      <c r="H18" s="452">
        <f>IF(ISNUMBER(G18/B18),G18/B18," - ")</f>
        <v>236</v>
      </c>
      <c r="I18" s="451">
        <f>IF(ISNUMBER(IF(D_I="SI",Datos!L18,Datos!L18+Datos!AF18)),IF(D_I="SI",Datos!L18,Datos!L18+Datos!AF18)," - ")</f>
        <v>223</v>
      </c>
      <c r="J18" s="452">
        <f>IF(ISNUMBER(I18/B18),I18/B18," - ")</f>
        <v>223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f>IF(ISNUMBER(Datos!I20),Datos!I20," - ")</f>
        <v>324</v>
      </c>
      <c r="D20" s="452" t="str">
        <f>IF(ISNUMBER(C20/Datos!BH20),C20/Datos!BH20," - ")</f>
        <v xml:space="preserve"> - </v>
      </c>
      <c r="E20" s="451">
        <f>IF(ISNUMBER(Datos!J20),Datos!J20," - ")</f>
        <v>219</v>
      </c>
      <c r="F20" s="452" t="str">
        <f>IF(ISNUMBER(E20/B20),E20/B20," - ")</f>
        <v xml:space="preserve"> - </v>
      </c>
      <c r="G20" s="451">
        <f>IF(ISNUMBER(Datos!K20),Datos!K20," - ")</f>
        <v>302</v>
      </c>
      <c r="H20" s="452" t="str">
        <f>IF(ISNUMBER(G20/B20),G20/B20," - ")</f>
        <v xml:space="preserve"> - </v>
      </c>
      <c r="I20" s="451">
        <f>IF(ISNUMBER(Datos!L20),Datos!L20," - ")</f>
        <v>241</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2307</v>
      </c>
      <c r="D23" s="1147" t="str">
        <f>IF(ISNUMBER(C23/Datos!BI23),C23/Datos!BI23," - ")</f>
        <v xml:space="preserve"> - </v>
      </c>
      <c r="E23" s="1146">
        <f>SUBTOTAL(9,E15:E22)</f>
        <v>2079</v>
      </c>
      <c r="F23" s="1147">
        <f>IF(ISNUMBER(E23/B23),E23/B23," - ")</f>
        <v>519.75</v>
      </c>
      <c r="G23" s="1146">
        <f>SUBTOTAL(9,G15:G22)</f>
        <v>2173</v>
      </c>
      <c r="H23" s="1147">
        <f>IF(ISNUMBER(G23/B23),G23/B23," - ")</f>
        <v>543.25</v>
      </c>
      <c r="I23" s="1146">
        <f>SUBTOTAL(9,I15:I22)</f>
        <v>2224</v>
      </c>
      <c r="J23" s="1147">
        <f>IF(ISNUMBER(I23/B23),I23/B23," - ")</f>
        <v>556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6034</v>
      </c>
      <c r="D31" s="1085" t="str">
        <f>IF(ISNUMBER(C31/Datos!BI31),C31/Datos!BI31," - ")</f>
        <v xml:space="preserve"> - </v>
      </c>
      <c r="E31" s="1084">
        <f>SUBTOTAL(9,E9:E30)</f>
        <v>4425</v>
      </c>
      <c r="F31" s="1085">
        <f>IF(ISNUMBER(E31/B31),E31/B31," - ")</f>
        <v>402.27272727272725</v>
      </c>
      <c r="G31" s="1084">
        <f>SUBTOTAL(9,G9:G30)</f>
        <v>4573</v>
      </c>
      <c r="H31" s="1085">
        <f>IF(ISNUMBER(G31/B31),G31/B31," - ")</f>
        <v>415.72727272727275</v>
      </c>
      <c r="I31" s="1084">
        <f>SUBTOTAL(9,I9:I30)</f>
        <v>5897</v>
      </c>
      <c r="J31" s="1085">
        <f>IF(ISNUMBER(I31/B31),I31/B31," - ")</f>
        <v>536.09090909090912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H5sm9bTiru0N6ArF7+Y0X09OgKZaFwFzMuVvj5C82z9HRVZg0NHeEd8u0z8qk77RTVtVK6NITLScvK0TXtgAw==" saltValue="AjRKso9uy3i1JuZ+jKCg3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LOGROÑO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2 al 2</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317</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136</v>
      </c>
      <c r="G10" s="906">
        <f>IF(ISNUMBER(Datos!I10),Datos!I10," - ")</f>
        <v>136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41</v>
      </c>
      <c r="AC10" s="905" t="str">
        <f>IF(ISNUMBER(IF(D_I="SI",DatosP!K18,DatosP!K18+DatosP!AE18)),IF(D_I="SI",DatosP!K18,DatosP!K18+DatosP!AE18)," - ")</f>
        <v xml:space="preserve"> - </v>
      </c>
      <c r="AD10" s="907"/>
      <c r="AE10" s="907"/>
      <c r="AF10" s="910">
        <f>IF(ISNUMBER(Datos!L10),Datos!L10,"-")</f>
        <v>150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30</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10.975609756097562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-3.3898305084745763E-2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136</v>
      </c>
      <c r="G14" s="1256">
        <f t="shared" si="0"/>
        <v>136</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41</v>
      </c>
      <c r="AC14" s="1257">
        <f t="shared" si="1"/>
        <v>0</v>
      </c>
      <c r="AD14" s="1257">
        <f t="shared" si="1"/>
        <v>2</v>
      </c>
      <c r="AE14" s="1257">
        <f t="shared" si="1"/>
        <v>0</v>
      </c>
      <c r="AF14" s="1257">
        <f t="shared" si="1"/>
        <v>150</v>
      </c>
      <c r="AG14" s="1257">
        <f t="shared" si="1"/>
        <v>0</v>
      </c>
      <c r="AH14" s="1257">
        <f t="shared" si="1"/>
        <v>57</v>
      </c>
      <c r="AI14" s="1257">
        <f t="shared" si="1"/>
        <v>0</v>
      </c>
      <c r="AJ14" s="1257">
        <f t="shared" si="1"/>
        <v>0</v>
      </c>
      <c r="AK14" s="1257">
        <f t="shared" si="1"/>
        <v>0</v>
      </c>
      <c r="AL14" s="1257">
        <f t="shared" si="1"/>
        <v>30</v>
      </c>
      <c r="AM14" s="1257">
        <f t="shared" si="1"/>
        <v>14</v>
      </c>
      <c r="AN14" s="1257">
        <f t="shared" si="1"/>
        <v>0</v>
      </c>
      <c r="AO14" s="1257">
        <f t="shared" si="1"/>
        <v>0</v>
      </c>
      <c r="AP14" s="1262">
        <f>IF(ISNUMBER(((Datos!L14/Datos!K14)*11)/factor_trimestre),((Datos!L14/Datos!K14)*11)/factor_trimestre," - ")</f>
        <v>4.871597096188748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-0.3014705882352941</v>
      </c>
      <c r="AU14" s="1257" t="str">
        <f>IF(ISNUMBER((DatosP!#REF!-DatosP!#REF!+DatosP!#REF!)/(DatosP!#REF!+DatosP!#REF!-DatosP!#REF!-DatosP!#REF!)),(DatosP!#REF!-DatosP!#REF!+DatosP!#REF!)/(DatosP!#REF!+DatosP!#REF!-DatosP!#REF!-DatosP!#REF!)," - ")</f>
        <v xml:space="preserve"> - </v>
      </c>
      <c r="AV14" s="1263">
        <f>SUBTOTAL(9,AV9:AV13)</f>
        <v>-3.3898305084745763E-2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3.0704095720202491</v>
      </c>
      <c r="AQ23" s="1262">
        <f>IF(ISNUMBER(((Datos!M23/Datos!L23)*11)/factor_trimestre),((Datos!M23/Datos!L23)*11)/factor_trimestre," - ")</f>
        <v>0.4829136690647482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9.9601593625498003E-2</v>
      </c>
      <c r="AW23" s="1265">
        <f>IF(ISNUMBER((Datos!Q23-Datos!R23)/(Datos!S23-Datos!Q23+Datos!R23)),(Datos!Q23-Datos!R23)/(Datos!S23-Datos!Q23+Datos!R23)," - ")</f>
        <v>-9.012875536480687E-2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136</v>
      </c>
      <c r="G31" s="1278">
        <f t="shared" si="8"/>
        <v>136</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41</v>
      </c>
      <c r="AC31" s="1284">
        <f t="shared" si="9"/>
        <v>0</v>
      </c>
      <c r="AD31" s="1284">
        <f t="shared" si="9"/>
        <v>2</v>
      </c>
      <c r="AE31" s="1284">
        <f t="shared" si="9"/>
        <v>0</v>
      </c>
      <c r="AF31" s="1285">
        <f t="shared" si="9"/>
        <v>150</v>
      </c>
      <c r="AG31" s="1285">
        <f t="shared" si="9"/>
        <v>0</v>
      </c>
      <c r="AH31" s="1285">
        <f t="shared" si="9"/>
        <v>57</v>
      </c>
      <c r="AI31" s="1285">
        <f t="shared" si="9"/>
        <v>0</v>
      </c>
      <c r="AJ31" s="1286">
        <f t="shared" si="9"/>
        <v>0</v>
      </c>
      <c r="AK31" s="1286">
        <f t="shared" si="9"/>
        <v>0</v>
      </c>
      <c r="AL31" s="1278">
        <f t="shared" si="9"/>
        <v>30</v>
      </c>
      <c r="AM31" s="1278">
        <f t="shared" si="9"/>
        <v>14</v>
      </c>
      <c r="AN31" s="1278">
        <f t="shared" si="9"/>
        <v>0</v>
      </c>
      <c r="AO31" s="1278">
        <f t="shared" si="9"/>
        <v>0</v>
      </c>
      <c r="AP31" s="1278">
        <f>IF(ISNUMBER(((Datos!L31/Datos!K31)*11)/factor_trimestre),((Datos!L31/Datos!K31)*11)/factor_trimestre," - ")</f>
        <v>3.9773817683344759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-0.3014705882352941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5.9532050394572895E-3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3.0322342331100418</v>
      </c>
      <c r="F33" s="1006">
        <f>IF(ISNUMBER(STDEV(F8:F30)),STDEV(F8:F30),"-")</f>
        <v>74.490267820702599</v>
      </c>
      <c r="G33" s="1007">
        <f>IF(ISNUMBER(STDEV(G8:G30)),STDEV(G8:G30),"-")</f>
        <v>74.490267820702599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22.456624857711812</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4.1431758551438795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zTPb4+PoickRUr6HmbdkAmSxpVFflMiBBpSUjXyqzvijmLsAnx44N6foQYfJpjc8284SmVTqs4vD7xPYz6qgA==" saltValue="mZSVRXQQ7hgarymv2ZY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276</v>
      </c>
      <c r="B3" s="439" t="str">
        <f>Criterios!A10 &amp;"  "&amp;Criterios!B10</f>
        <v>Provincias  LA RIOJA</v>
      </c>
      <c r="C3" s="463"/>
      <c r="F3" s="436"/>
      <c r="G3" s="436"/>
      <c r="H3" s="436"/>
    </row>
    <row r="4" spans="1:15" ht="13.5" thickBot="1">
      <c r="A4" s="436"/>
      <c r="B4" s="439" t="str">
        <f>Criterios!A11 &amp;"  "&amp;Criterios!B11</f>
        <v>Resumenes por Partidos Judiciales  LOGROÑO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mBhOFh+PmYamlQbPwP6I328cYPJTt9UqtGWGo75qK8J3Vz7BHMsVICsUICC+qJwyWIrqiGmAqvjtbsIOt6PoQ==" saltValue="1dkvwsVejf8JIg0+qpF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LOGROÑO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548</v>
      </c>
      <c r="E9" s="452">
        <f t="shared" ref="E9:E14" si="0">IF(ISNUMBER(D9/B9),D9/B9," - ")</f>
        <v>91.333333333333329</v>
      </c>
      <c r="F9" s="451">
        <f>IF(ISNUMBER(Datos!N9),Datos!N9," - ")</f>
        <v>628</v>
      </c>
      <c r="G9" s="452">
        <f t="shared" ref="G9:G14" si="1">IF(ISNUMBER(F9/B9),F9/B9," - ")</f>
        <v>104.66666666666667</v>
      </c>
      <c r="H9" s="451">
        <f>IF(ISNUMBER(Datos!O9),Datos!O9," - ")</f>
        <v>952</v>
      </c>
      <c r="I9" s="452">
        <f>IF(ISNUMBER(H9/B9),H9/B9," - ")</f>
        <v>158.66666666666666</v>
      </c>
    </row>
    <row r="10" spans="1:9">
      <c r="A10" s="450" t="str">
        <f>Datos!A10</f>
        <v>Jdos. Violencia contra la mujer</v>
      </c>
      <c r="B10" s="480">
        <f>Datos!AO10</f>
        <v>1</v>
      </c>
      <c r="C10" s="458">
        <f>Datos!AQ10</f>
        <v>1</v>
      </c>
      <c r="D10" s="451">
        <f>IF(ISNUMBER(Datos!M10),Datos!M10," - ")</f>
        <v>30</v>
      </c>
      <c r="E10" s="452">
        <f>IF(ISNUMBER(D10/B10),D10/B10," - ")</f>
        <v>30</v>
      </c>
      <c r="F10" s="451">
        <f>IF(ISNUMBER(Datos!N10),Datos!N10," - ")</f>
        <v>14</v>
      </c>
      <c r="G10" s="452">
        <f>IF(ISNUMBER(F10/B10),F10/B10," - ")</f>
        <v>14</v>
      </c>
      <c r="H10" s="451">
        <f>IF(ISNUMBER(Datos!O10),Datos!O10," - ")</f>
        <v>5</v>
      </c>
      <c r="I10" s="452">
        <f t="shared" ref="I10:I13" si="2">IF(ISNUMBER(H10/B10),H10/B10," - ")</f>
        <v>5</v>
      </c>
    </row>
    <row r="11" spans="1:9">
      <c r="A11" s="450" t="str">
        <f>Datos!A11</f>
        <v xml:space="preserve">Jdos. Familia                                   </v>
      </c>
      <c r="B11" s="480">
        <f>Datos!AO11</f>
        <v>1</v>
      </c>
      <c r="C11" s="458">
        <f>Datos!AQ11</f>
        <v>1</v>
      </c>
      <c r="D11" s="451">
        <f>IF(ISNUMBER(Datos!M11),Datos!M11," - ")</f>
        <v>121</v>
      </c>
      <c r="E11" s="452">
        <f t="shared" si="0"/>
        <v>121</v>
      </c>
      <c r="F11" s="451">
        <f>IF(ISNUMBER(Datos!N11),Datos!N11," - ")</f>
        <v>255</v>
      </c>
      <c r="G11" s="452">
        <f t="shared" si="1"/>
        <v>255</v>
      </c>
      <c r="H11" s="451">
        <f>IF(ISNUMBER(Datos!O11),Datos!O11," - ")</f>
        <v>100</v>
      </c>
      <c r="I11" s="452">
        <f t="shared" si="2"/>
        <v>100</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699</v>
      </c>
      <c r="E14" s="1147">
        <f t="shared" si="0"/>
        <v>87.375</v>
      </c>
      <c r="F14" s="1146">
        <f>SUBTOTAL(9,F9:F13)</f>
        <v>897</v>
      </c>
      <c r="G14" s="1147">
        <f t="shared" si="1"/>
        <v>112.125</v>
      </c>
      <c r="H14" s="1146">
        <f>SUBTOTAL(9,H9:H13)</f>
        <v>1057</v>
      </c>
      <c r="I14" s="1147">
        <f>IF(ISNUMBER(H14/B14),H14/B14," - ")</f>
        <v>132.125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322</v>
      </c>
      <c r="E16" s="452">
        <f t="shared" ref="E16:E23" si="3">IF(ISNUMBER(D16/B16),D16/B16," - ")</f>
        <v>107.33333333333333</v>
      </c>
      <c r="F16" s="451">
        <f>IF(ISNUMBER(Datos!N16),Datos!N16," - ")</f>
        <v>808</v>
      </c>
      <c r="G16" s="452">
        <f t="shared" ref="G16:G23" si="4">IF(ISNUMBER(F16/B16),F16/B16," - ")</f>
        <v>269.33333333333331</v>
      </c>
      <c r="H16" s="451">
        <f>IF(ISNUMBER(Datos!O16),Datos!O16," - ")</f>
        <v>65</v>
      </c>
      <c r="I16" s="452">
        <f t="shared" ref="I16:I22" si="5">IF(ISNUMBER(H16/B16),H16/B16," - ")</f>
        <v>21.666666666666668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36</v>
      </c>
      <c r="E18" s="452">
        <f>IF(ISNUMBER(D18/B18),D18/B18," - ")</f>
        <v>36</v>
      </c>
      <c r="F18" s="451">
        <f>IF(ISNUMBER(Datos!N18),Datos!N18," - ")</f>
        <v>117</v>
      </c>
      <c r="G18" s="452">
        <f>IF(ISNUMBER(F18/B18),F18/B18," - ")</f>
        <v>117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f>IF(ISNUMBER(Datos!N20),Datos!N20," - ")</f>
        <v>243</v>
      </c>
      <c r="G20" s="452" t="str">
        <f t="shared" si="4"/>
        <v xml:space="preserve"> - </v>
      </c>
      <c r="H20" s="451">
        <f>IF(ISNUMBER(Datos!O20),Datos!O20," - ")</f>
        <v>23</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358</v>
      </c>
      <c r="E23" s="1147">
        <f t="shared" si="3"/>
        <v>89.5</v>
      </c>
      <c r="F23" s="1146">
        <f>SUBTOTAL(9,F16:F22)</f>
        <v>1168</v>
      </c>
      <c r="G23" s="1147">
        <f t="shared" si="4"/>
        <v>292</v>
      </c>
      <c r="H23" s="1146">
        <f>SUBTOTAL(9,H16:H22)</f>
        <v>89</v>
      </c>
      <c r="I23" s="1147">
        <f>IF(ISNUMBER(H23/B23),H23/B23," - ")</f>
        <v>22.25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1057</v>
      </c>
      <c r="E31" s="1085">
        <f>IF(ISNUMBER(D31/B31),D31/B31," - ")</f>
        <v>96.090909090909093</v>
      </c>
      <c r="F31" s="1084">
        <f>SUBTOTAL(9,F8:F30)</f>
        <v>2065</v>
      </c>
      <c r="G31" s="1085">
        <f>IF(ISNUMBER(F31/B31),F31/B31," - ")</f>
        <v>187.72727272727272</v>
      </c>
      <c r="H31" s="1084">
        <f>SUBTOTAL(9,H8:H30)</f>
        <v>1146</v>
      </c>
      <c r="I31" s="1085">
        <f>IF(ISNUMBER(H31/B31),H31/B31," - ")</f>
        <v>104.18181818181819</v>
      </c>
    </row>
    <row r="34" spans="1:1">
      <c r="A34" s="439" t="str">
        <f>Criterios!A4</f>
        <v>Fecha Informe: 06 may. 2023</v>
      </c>
    </row>
    <row r="39" spans="1:1">
      <c r="A39" s="462"/>
    </row>
  </sheetData>
  <sheetProtection algorithmName="SHA-512" hashValue="TrSkROLY8w2p+Tqbwhs7CRq91BKTtu0p/2kFrWy31Yjs9FeHvtDSHB4nScpV+lGOfWnBpcG4jHihFTjA28yp+A==" saltValue="BVXXX5lkl14kfiXkzo2C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LOGROÑO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569</v>
      </c>
      <c r="C9" s="489">
        <f>IF(ISNUMBER(Datos!Q9),Datos!Q9," - ")</f>
        <v>558</v>
      </c>
      <c r="D9" s="456">
        <f>IF(ISNUMBER(Datos!R9),Datos!R9," - ")</f>
        <v>6264</v>
      </c>
    </row>
    <row r="10" spans="1:4">
      <c r="A10" s="450" t="str">
        <f>Datos!A10</f>
        <v>Jdos. Violencia contra la mujer</v>
      </c>
      <c r="B10" s="488">
        <f>IF(ISNUMBER(Datos!P10),Datos!P10," - ")</f>
        <v>16</v>
      </c>
      <c r="C10" s="489">
        <f>IF(ISNUMBER(Datos!Q10),Datos!Q10," - ")</f>
        <v>8</v>
      </c>
      <c r="D10" s="456">
        <f>IF(ISNUMBER(Datos!R10),Datos!R10," - ")</f>
        <v>156</v>
      </c>
    </row>
    <row r="11" spans="1:4">
      <c r="A11" s="450" t="str">
        <f>Datos!A11</f>
        <v xml:space="preserve">Jdos. Familia                                   </v>
      </c>
      <c r="B11" s="488">
        <f>IF(ISNUMBER(Datos!P11),Datos!P11," - ")</f>
        <v>38</v>
      </c>
      <c r="C11" s="489">
        <f>IF(ISNUMBER(Datos!Q11),Datos!Q11," - ")</f>
        <v>37</v>
      </c>
      <c r="D11" s="456">
        <f>IF(ISNUMBER(Datos!R11),Datos!R11," - ")</f>
        <v>513</v>
      </c>
    </row>
    <row r="12" spans="1:4">
      <c r="A12" s="450" t="str">
        <f>Datos!A12</f>
        <v xml:space="preserve">Jdos. 1ª Instª. e Instr.                        </v>
      </c>
      <c r="B12" s="488">
        <f>IF(ISNUMBER(Datos!P12),Datos!P12," - ")</f>
        <v>0</v>
      </c>
      <c r="C12" s="489">
        <f>IF(ISNUMBER(Datos!Q12),Datos!Q12," - ")</f>
        <v>2</v>
      </c>
      <c r="D12" s="456">
        <f>IF(ISNUMBER(Datos!R12),Datos!R12," - ")</f>
        <v>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623</v>
      </c>
      <c r="C14" s="1150">
        <f>SUBTOTAL(9,C9:C13)</f>
        <v>605</v>
      </c>
      <c r="D14" s="1148">
        <f>SUBTOTAL(9,D9:D13)</f>
        <v>6990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111</v>
      </c>
      <c r="C16" s="489">
        <f>IF(ISNUMBER(Datos!Q16),Datos!Q16," - ")</f>
        <v>86</v>
      </c>
      <c r="D16" s="456">
        <f>IF(ISNUMBER(Datos!R16),Datos!R16," - ")</f>
        <v>268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1</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112</v>
      </c>
      <c r="C23" s="1150">
        <f>SUBTOTAL(9,C16:C22)</f>
        <v>87</v>
      </c>
      <c r="D23" s="1148">
        <f>SUBTOTAL(9,D16:D22)</f>
        <v>276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735</v>
      </c>
      <c r="C31" s="1089">
        <f>SUBTOTAL(9,C8:C30)</f>
        <v>692</v>
      </c>
      <c r="D31" s="1090">
        <f>SUBTOTAL(9,D8:D30)</f>
        <v>7266</v>
      </c>
    </row>
    <row r="32" spans="1:4" ht="7.5" customHeight="1"/>
    <row r="33" spans="1:1" ht="6" customHeight="1"/>
    <row r="34" spans="1:1">
      <c r="A34" s="439" t="str">
        <f>Criterios!A4</f>
        <v>Fecha Informe: 06 may. 2023</v>
      </c>
    </row>
    <row r="39" spans="1:1">
      <c r="A39" s="462"/>
    </row>
  </sheetData>
  <sheetProtection algorithmName="SHA-512" hashValue="76z8a2gPC96b6o72SQoCzGbUs6dxJBV7v2iZ8dTy2hrCzm7wKE/8DVQ6J1lVUgplKRBNRRTZCgCc+hqKoK5Q5g==" saltValue="i2L9HtO2OjsV5I5nGzRf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LOGROÑO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1.230661040787623E-2</v>
      </c>
      <c r="C9" s="515">
        <f>IF(ISNUMBER(
   IF(J_V="SI",(Datos!J9-Datos!T9)/Datos!T9,(Datos!J9+Datos!Z9-(Datos!T9+Datos!AH9))/(Datos!T9+Datos!AH9))
     ),IF(J_V="SI",(Datos!J9-Datos!T9)/Datos!T9,(Datos!J9+Datos!Z9-(Datos!T9+Datos!AH9))/(Datos!T9+Datos!AH9))," - ")</f>
        <v>9.8275862068965519E-2</v>
      </c>
      <c r="D9" s="515">
        <f>IF(ISNUMBER(
   IF(J_V="SI",(Datos!K9-Datos!U9)/Datos!U9,(Datos!K9+Datos!AA9-(Datos!U9+Datos!AI9))/(Datos!U9+Datos!AI9))
     ),IF(J_V="SI",(Datos!K9-Datos!U9)/Datos!U9,(Datos!K9+Datos!AA9-(Datos!U9+Datos!AI9))/(Datos!U9+Datos!AI9))," - ")</f>
        <v>-2.3267577137076379E-2</v>
      </c>
      <c r="E9" s="515">
        <f>IF(ISNUMBER(
   IF(J_V="SI",(Datos!L9-Datos!V9)/Datos!V9,(Datos!L9+Datos!AB9-(Datos!V9+Datos!AJ9))/(Datos!V9+Datos!AJ9))
     ),IF(J_V="SI",(Datos!L9-Datos!V9)/Datos!V9,(Datos!L9+Datos!AB9-(Datos!V9+Datos!AJ9))/(Datos!V9+Datos!AJ9))," - ")</f>
        <v>9.6662830840046024E-2</v>
      </c>
      <c r="F9" s="515">
        <f>IF(ISNUMBER((Datos!M9-Datos!W9)/Datos!W9),(Datos!M9-Datos!W9)/Datos!W9," - ")</f>
        <v>8.3003952569169967E-2</v>
      </c>
      <c r="G9" s="516">
        <f>IF(ISNUMBER((Datos!N9-Datos!X9)/Datos!X9),(Datos!N9-Datos!X9)/Datos!X9," - ")</f>
        <v>-0.11673699015471167</v>
      </c>
      <c r="H9" s="514">
        <f>IF(ISNUMBER(((NºAsuntos!G9/NºAsuntos!E9)-Datos!BD9)/Datos!BD9),((NºAsuntos!G9/NºAsuntos!E9)-Datos!BD9)/Datos!BD9," - ")</f>
        <v>-0.11066749566641186</v>
      </c>
      <c r="I9" s="515">
        <f>IF(ISNUMBER(((NºAsuntos!I9/NºAsuntos!G9)-Datos!BE9)/Datos!BE9),((NºAsuntos!I9/NºAsuntos!G9)-Datos!BE9)/Datos!BE9," - ")</f>
        <v>0.12278737264151786</v>
      </c>
      <c r="J9" s="521">
        <f>IF(ISNUMBER((('Resol  Asuntos'!D9/NºAsuntos!G9)-Datos!BF9)/Datos!BF9),(('Resol  Asuntos'!D9/NºAsuntos!G9)-Datos!BF9)/Datos!BF9," - ")</f>
        <v>-0.2108939859760908</v>
      </c>
      <c r="K9" s="522">
        <f>IF(ISNUMBER((((NºAsuntos!C9+NºAsuntos!E9)/NºAsuntos!G9)-Datos!BG9)/Datos!BG9),(((NºAsuntos!C9+NºAsuntos!E9)/NºAsuntos!G9)-Datos!BG9)/Datos!BG9," - ")</f>
        <v>6.9831300278454758E-2</v>
      </c>
    </row>
    <row r="10" spans="1:11">
      <c r="A10" s="450" t="str">
        <f>Datos!A10</f>
        <v>Jdos. Violencia contra la mujer</v>
      </c>
      <c r="B10" s="514">
        <f>IF(ISNUMBER((Datos!I10-Datos!S10)/Datos!S10),(Datos!I10-Datos!S10)/Datos!S10," - ")</f>
        <v>-2.8571428571428571E-2</v>
      </c>
      <c r="C10" s="515">
        <f>IF(ISNUMBER((Datos!J10-Datos!T10)/Datos!T10),(Datos!J10-Datos!T10)/Datos!T10," - ")</f>
        <v>0.375</v>
      </c>
      <c r="D10" s="515">
        <f>IF(ISNUMBER((Datos!K10-Datos!U10)/Datos!U10),(Datos!K10-Datos!U10)/Datos!U10," - ")</f>
        <v>-0.24074074074074073</v>
      </c>
      <c r="E10" s="515">
        <f>IF(ISNUMBER((Datos!L10-Datos!V10)/Datos!V10),(Datos!L10-Datos!V10)/Datos!V10," - ")</f>
        <v>0.19047619047619047</v>
      </c>
      <c r="F10" s="515">
        <f>IF(ISNUMBER((Datos!M10-Datos!W10)/Datos!W10),(Datos!M10-Datos!W10)/Datos!W10," - ")</f>
        <v>0.2</v>
      </c>
      <c r="G10" s="516">
        <f>IF(ISNUMBER((Datos!N10-Datos!X10)/Datos!X10),(Datos!N10-Datos!X10)/Datos!X10," - ")</f>
        <v>-0.17647058823529413</v>
      </c>
      <c r="H10" s="514">
        <f>IF(ISNUMBER(((NºAsuntos!G10/NºAsuntos!E10)-Datos!BD10)/Datos!BD10),((NºAsuntos!G10/NºAsuntos!E10)-Datos!BD10)/Datos!BD10," - ")</f>
        <v>-0.44781144781144783</v>
      </c>
      <c r="I10" s="515">
        <f>IF(ISNUMBER(((NºAsuntos!I10/NºAsuntos!G10)-Datos!BE10)/Datos!BE10),((NºAsuntos!I10/NºAsuntos!G10)-Datos!BE10)/Datos!BE10," - ")</f>
        <v>0.56794425087108014</v>
      </c>
      <c r="J10" s="521">
        <f>IF(ISNUMBER((('Resol  Asuntos'!D10/NºAsuntos!G10)-Datos!BF10)/Datos!BF10),(('Resol  Asuntos'!D10/NºAsuntos!G10)-Datos!BF10)/Datos!BF10," - ")</f>
        <v>0.58048780487804874</v>
      </c>
      <c r="K10" s="522">
        <f>IF(ISNUMBER((((NºAsuntos!C10+NºAsuntos!E10)/NºAsuntos!G10)-Datos!BG10)/Datos!BG10),(((NºAsuntos!C10+NºAsuntos!E10)/NºAsuntos!G10)-Datos!BG10)/Datos!BG10," - ")</f>
        <v>0.39756097560975595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-6.6929133858267723E-2</v>
      </c>
      <c r="C11" s="515">
        <f>IF(ISNUMBER(
   IF(J_V="SI",(Datos!J11-Datos!T11)/Datos!T11,(Datos!J11+Datos!Z11-(Datos!T11+Datos!AH11))/(Datos!T11+Datos!AH11))
     ),IF(J_V="SI",(Datos!J11-Datos!T11)/Datos!T11,(Datos!J11+Datos!Z11-(Datos!T11+Datos!AH11))/(Datos!T11+Datos!AH11))," - ")</f>
        <v>-0.11007025761124122</v>
      </c>
      <c r="D11" s="515">
        <f>IF(ISNUMBER(
   IF(J_V="SI",(Datos!K11-Datos!U11)/Datos!U11,(Datos!K11+Datos!AA11-(Datos!U11+Datos!AI11))/(Datos!U11+Datos!AI11))
     ),IF(J_V="SI",(Datos!K11-Datos!U11)/Datos!U11,(Datos!K11+Datos!AA11-(Datos!U11+Datos!AI11))/(Datos!U11+Datos!AI11))," - ")</f>
        <v>8.0808080808080815E-2</v>
      </c>
      <c r="E11" s="515">
        <f>IF(ISNUMBER(
   IF(J_V="SI",(Datos!L11-Datos!V11)/Datos!V11,(Datos!L11+Datos!AB11-(Datos!V11+Datos!AJ11))/(Datos!V11+Datos!AJ11))
     ),IF(J_V="SI",(Datos!L11-Datos!V11)/Datos!V11,(Datos!L11+Datos!AB11-(Datos!V11+Datos!AJ11))/(Datos!V11+Datos!AJ11))," - ")</f>
        <v>3.7558685446009391E-2</v>
      </c>
      <c r="F11" s="515">
        <f>IF(ISNUMBER((Datos!M11-Datos!W11)/Datos!W11),(Datos!M11-Datos!W11)/Datos!W11," - ")</f>
        <v>-0.3045977011494253</v>
      </c>
      <c r="G11" s="516">
        <f>IF(ISNUMBER((Datos!N11-Datos!X11)/Datos!X11),(Datos!N11-Datos!X11)/Datos!X11," - ")</f>
        <v>0.3783783783783784</v>
      </c>
      <c r="H11" s="514">
        <f>IF(ISNUMBER(((NºAsuntos!G11/NºAsuntos!E11)-Datos!BD11)/Datos!BD11),((NºAsuntos!G11/NºAsuntos!E11)-Datos!BD11)/Datos!BD11," - ")</f>
        <v>0.2144869750132907</v>
      </c>
      <c r="I11" s="515">
        <f>IF(ISNUMBER(((NºAsuntos!I11/NºAsuntos!G11)-Datos!BE11)/Datos!BE11),((NºAsuntos!I11/NºAsuntos!G11)-Datos!BE11)/Datos!BE11," - ")</f>
        <v>-4.0015795708832354E-2</v>
      </c>
      <c r="J11" s="521">
        <f>IF(ISNUMBER((('Resol  Asuntos'!D11/NºAsuntos!G11)-Datos!BF11)/Datos!BF11),(('Resol  Asuntos'!D11/NºAsuntos!G11)-Datos!BF11)/Datos!BF11," - ")</f>
        <v>-0.39484718363223037</v>
      </c>
      <c r="K11" s="522">
        <f>IF(ISNUMBER((((NºAsuntos!C11+NºAsuntos!E11)/NºAsuntos!G11)-Datos!BG11)/Datos!BG11),(((NºAsuntos!C11+NºAsuntos!E11)/NºAsuntos!G11)-Datos!BG11)/Datos!BG11," - ")</f>
        <v>-0.15102615093182836</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-5.3376034160661865E-3</v>
      </c>
      <c r="C14" s="1152">
        <f>IF(ISNUMBER(
   IF(J_V="SI",(Datos!J14-Datos!T14)/Datos!T14,(Datos!J14+Datos!Z14-(Datos!T14+Datos!AH14))/(Datos!T14+Datos!AH14))
     ),IF(J_V="SI",(Datos!J14-Datos!T14)/Datos!T14,(Datos!J14+Datos!Z14-(Datos!T14+Datos!AH14))/(Datos!T14+Datos!AH14))," - ")</f>
        <v>6.2981422745808785E-2</v>
      </c>
      <c r="D14" s="1152">
        <f>IF(ISNUMBER(
   IF(J_V="SI",(Datos!K14-Datos!U14)/Datos!U14,(Datos!K14+Datos!AA14-(Datos!U14+Datos!AI14))/(Datos!U14+Datos!AI14))
     ),IF(J_V="SI",(Datos!K14-Datos!U14)/Datos!U14,(Datos!K14+Datos!AA14-(Datos!U14+Datos!AI14))/(Datos!U14+Datos!AI14))," - ")</f>
        <v>-1.1124845488257108E-2</v>
      </c>
      <c r="E14" s="1152">
        <f>IF(ISNUMBER(
   IF(J_V="SI",(Datos!L14-Datos!V14)/Datos!V14,(Datos!L14+Datos!AB14-(Datos!V14+Datos!AJ14))/(Datos!V14+Datos!AJ14))
     ),IF(J_V="SI",(Datos!L14-Datos!V14)/Datos!V14,(Datos!L14+Datos!AB14-(Datos!V14+Datos!AJ14))/(Datos!V14+Datos!AJ14))," - ")</f>
        <v>8.8941595019270681E-2</v>
      </c>
      <c r="F14" s="1153">
        <f>IF(ISNUMBER((Datos!M14-Datos!W14)/Datos!W14),(Datos!M14-Datos!W14)/Datos!W14," - ")</f>
        <v>-8.5106382978723406E-3</v>
      </c>
      <c r="G14" s="1154">
        <f>IF(ISNUMBER((Datos!N14-Datos!X14)/Datos!X14),(Datos!N14-Datos!X14)/Datos!X14," - ")</f>
        <v>-1.7524644030668127E-2</v>
      </c>
      <c r="H14" s="1154">
        <f>IF(ISNUMBER(((NºAsuntos!G14/NºAsuntos!E14)-Datos!BD14)/Datos!BD14),((NºAsuntos!G14/NºAsuntos!E14)-Datos!BD14)/Datos!BD14," - ")</f>
        <v>-6.9715487635372345E-2</v>
      </c>
      <c r="I14" s="1154">
        <f>IF(ISNUMBER(((NºAsuntos!I14/NºAsuntos!G14)-Datos!BE14)/Datos!BE14),((NºAsuntos!I14/NºAsuntos!G14)-Datos!BE14)/Datos!BE14," - ")</f>
        <v>0.10119218796323756</v>
      </c>
      <c r="J14" s="1154">
        <f>IF(ISNUMBER((('Resol  Asuntos'!D14/NºAsuntos!G14)-Datos!BF14)/Datos!BF14),(('Resol  Asuntos'!D14/NºAsuntos!G14)-Datos!BF14)/Datos!BF14," - ")</f>
        <v>-0.23250407166123771</v>
      </c>
      <c r="K14" s="1154">
        <f>IF(ISNUMBER((((NºAsuntos!C14+NºAsuntos!E14)/NºAsuntos!G14)-Datos!BG14)/Datos!BG14),(((NºAsuntos!C14+NºAsuntos!E14)/NºAsuntos!G14)-Datos!BG14)/Datos!BG14," - ")</f>
        <v>3.1461412495801026E-2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0.24079320113314448</v>
      </c>
      <c r="C16" s="515">
        <f>IF(ISNUMBER(
   IF(D_I="SI",(Datos!J16-Datos!T16)/Datos!T16,(Datos!J16+Datos!AD16-(Datos!T16+Datos!AL16))/(Datos!T16+Datos!AL16))
     ),IF(D_I="SI",(Datos!J16-Datos!T16)/Datos!T16,(Datos!J16+Datos!AD16-(Datos!T16+Datos!AL16))/(Datos!T16+Datos!AL16))," - ")</f>
        <v>8.0741230972865646E-2</v>
      </c>
      <c r="D16" s="515">
        <f>IF(ISNUMBER(
   IF(D_I="SI",(Datos!K16-Datos!U16)/Datos!U16,(Datos!K16+Datos!AE16-(Datos!U16+Datos!AM16))/(Datos!U16+Datos!AM16))
     ),IF(D_I="SI",(Datos!K16-Datos!U16)/Datos!U16,(Datos!K16+Datos!AE16-(Datos!U16+Datos!AM16))/(Datos!U16+Datos!AM16))," - ")</f>
        <v>3.1545741324921134E-2</v>
      </c>
      <c r="E16" s="515">
        <f>IF(ISNUMBER(
   IF(D_I="SI",(Datos!L16-Datos!V16)/Datos!V16,(Datos!L16+Datos!AF16-(Datos!V16+Datos!AN16))/(Datos!V16+Datos!AN16))
     ),IF(D_I="SI",(Datos!L16-Datos!V16)/Datos!V16,(Datos!L16+Datos!AF16-(Datos!V16+Datos!AN16))/(Datos!V16+Datos!AN16))," - ")</f>
        <v>0.30757800891530462</v>
      </c>
      <c r="F16" s="515">
        <f>IF(ISNUMBER((Datos!M16-Datos!W16)/Datos!W16),(Datos!M16-Datos!W16)/Datos!W16," - ")</f>
        <v>-1.5290519877675841E-2</v>
      </c>
      <c r="G16" s="516">
        <f>IF(ISNUMBER((Datos!N16-Datos!X16)/Datos!X16),(Datos!N16-Datos!X16)/Datos!X16," - ")</f>
        <v>2.1491782553729456E-2</v>
      </c>
      <c r="H16" s="514">
        <f>IF(ISNUMBER(((NºAsuntos!G16/NºAsuntos!E16)-Datos!BD16)/Datos!BD16),((NºAsuntos!G16/NºAsuntos!E16)-Datos!BD16)/Datos!BD16," - ")</f>
        <v>-4.5520137696291638E-2</v>
      </c>
      <c r="I16" s="515">
        <f>IF(ISNUMBER(((NºAsuntos!I16/NºAsuntos!G16)-Datos!BE16)/Datos!BE16),((NºAsuntos!I16/NºAsuntos!G16)-Datos!BE16)/Datos!BE16," - ")</f>
        <v>0.26759091384144201</v>
      </c>
      <c r="J16" s="521">
        <f>IF(ISNUMBER((('Resol  Asuntos'!D16/NºAsuntos!G16)-Datos!BF16)/Datos!BF16),(('Resol  Asuntos'!D16/NºAsuntos!G16)-Datos!BF16)/Datos!BF16," - ")</f>
        <v>-4.5403959636768361E-2</v>
      </c>
      <c r="K16" s="522">
        <f>IF(ISNUMBER((((NºAsuntos!C16+NºAsuntos!E16)/NºAsuntos!G16)-Datos!BG16)/Datos!BG16),(((NºAsuntos!C16+NºAsuntos!E16)/NºAsuntos!G16)-Datos!BG16)/Datos!BG16," - ")</f>
        <v>0.12264221020463043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-0.14126394052044611</v>
      </c>
      <c r="C18" s="515">
        <f>IF(ISNUMBER(
   IF(D_I="SI",(Datos!J18-Datos!T18)/Datos!T18,(Datos!J18+Datos!AD18-(Datos!T18+Datos!AL18))/(Datos!T18+Datos!AL18))
     ),IF(D_I="SI",(Datos!J18-Datos!T18)/Datos!T18,(Datos!J18+Datos!AD18-(Datos!T18+Datos!AL18))/(Datos!T18+Datos!AL18))," - ")</f>
        <v>0.18229166666666666</v>
      </c>
      <c r="D18" s="515">
        <f>IF(ISNUMBER(
   IF(D_I="SI",(Datos!K18-Datos!U18)/Datos!U18,(Datos!K18+Datos!AE18-(Datos!U18+Datos!AM18))/(Datos!U18+Datos!AM18))
     ),IF(D_I="SI",(Datos!K18-Datos!U18)/Datos!U18,(Datos!K18+Datos!AE18-(Datos!U18+Datos!AM18))/(Datos!U18+Datos!AM18))," - ")</f>
        <v>-4.8387096774193547E-2</v>
      </c>
      <c r="E18" s="515">
        <f>IF(ISNUMBER(
   IF(D_I="SI",(Datos!L18-Datos!V18)/Datos!V18,(Datos!L18+Datos!AF18-(Datos!V18+Datos!AN18))/(Datos!V18+Datos!AN18))
     ),IF(D_I="SI",(Datos!L18-Datos!V18)/Datos!V18,(Datos!L18+Datos!AF18-(Datos!V18+Datos!AN18))/(Datos!V18+Datos!AN18))," - ")</f>
        <v>4.6948356807511735E-2</v>
      </c>
      <c r="F18" s="515">
        <f>IF(ISNUMBER((Datos!M18-Datos!W18)/Datos!W18),(Datos!M18-Datos!W18)/Datos!W18," - ")</f>
        <v>0.2857142857142857</v>
      </c>
      <c r="G18" s="516">
        <f>IF(ISNUMBER((Datos!N18-Datos!X18)/Datos!X18),(Datos!N18-Datos!X18)/Datos!X18," - ")</f>
        <v>-2.5000000000000001E-2</v>
      </c>
      <c r="H18" s="514">
        <f>IF(ISNUMBER(((NºAsuntos!G18/NºAsuntos!E18)-Datos!BD18)/Datos!BD18),((NºAsuntos!G18/NºAsuntos!E18)-Datos!BD18)/Datos!BD18," - ")</f>
        <v>-0.19511155321870113</v>
      </c>
      <c r="I18" s="515">
        <f>IF(ISNUMBER(((NºAsuntos!I18/NºAsuntos!G18)-Datos!BE18)/Datos!BE18),((NºAsuntos!I18/NºAsuntos!G18)-Datos!BE18)/Datos!BE18," - ")</f>
        <v>0.1001830190180632</v>
      </c>
      <c r="J18" s="521">
        <f>IF(ISNUMBER((('Resol  Asuntos'!D18/NºAsuntos!G18)-Datos!BF18)/Datos!BF18),(('Resol  Asuntos'!D18/NºAsuntos!G18)-Datos!BF18)/Datos!BF18," - ")</f>
        <v>0.35108958837772408</v>
      </c>
      <c r="K18" s="522">
        <f>IF(ISNUMBER((((NºAsuntos!C18+NºAsuntos!E18)/NºAsuntos!G18)-Datos!BG18)/Datos!BG18),(((NºAsuntos!C18+NºAsuntos!E18)/NºAsuntos!G18)-Datos!BG18)/Datos!BG18," - ")</f>
        <v>4.4008970918048416E-2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f>IF(ISNUMBER((Datos!I20-Datos!S20)/Datos!S20),(Datos!I20-Datos!S20)/Datos!S20," - ")</f>
        <v>0.42731277533039647</v>
      </c>
      <c r="C20" s="515">
        <f>IF(ISNUMBER((Datos!J20-Datos!T20)/Datos!T20),(Datos!J20-Datos!T20)/Datos!T20," - ")</f>
        <v>-9.8765432098765427E-2</v>
      </c>
      <c r="D20" s="515">
        <f>IF(ISNUMBER((Datos!K20-Datos!U20)/Datos!U20),(Datos!K20-Datos!U20)/Datos!U20," - ")</f>
        <v>0.1796875</v>
      </c>
      <c r="E20" s="515">
        <f>IF(ISNUMBER((Datos!L20-Datos!V20)/Datos!V20),(Datos!L20-Datos!V20)/Datos!V20," - ")</f>
        <v>0.12616822429906541</v>
      </c>
      <c r="F20" s="515" t="str">
        <f>IF(ISNUMBER((Datos!M20-Datos!W20)/Datos!W20),(Datos!M20-Datos!W20)/Datos!W20," - ")</f>
        <v xml:space="preserve"> - </v>
      </c>
      <c r="G20" s="516">
        <f>IF(ISNUMBER((Datos!N20-Datos!X20)/Datos!X20),(Datos!N20-Datos!X20)/Datos!X20," - ")</f>
        <v>5.1948051948051951E-2</v>
      </c>
      <c r="H20" s="514">
        <f>IF(ISNUMBER(((NºAsuntos!G20/NºAsuntos!E20)-Datos!BD20)/Datos!BD20),((NºAsuntos!G20/NºAsuntos!E20)-Datos!BD20)/Datos!BD20," - ")</f>
        <v>0.30896832191780815</v>
      </c>
      <c r="I20" s="515">
        <f>IF(ISNUMBER(((NºAsuntos!I20/NºAsuntos!G20)-Datos!BE20)/Datos!BE20),((NºAsuntos!I20/NºAsuntos!G20)-Datos!BE20)/Datos!BE20," - ")</f>
        <v>-4.5367333044500871E-2</v>
      </c>
      <c r="J20" s="521" t="str">
        <f>IF(ISNUMBER((('Resol  Asuntos'!D20/NºAsuntos!G20)-Datos!BF20)/Datos!BF20),(('Resol  Asuntos'!D20/NºAsuntos!G20)-Datos!BF20)/Datos!BF20," - ")</f>
        <v xml:space="preserve"> - </v>
      </c>
      <c r="K20" s="522">
        <f>IF(ISNUMBER((((NºAsuntos!C20+NºAsuntos!E20)/NºAsuntos!G20)-Datos!BG20)/Datos!BG20),(((NºAsuntos!C20+NºAsuntos!E20)/NºAsuntos!G20)-Datos!BG20)/Datos!BG20," - ")</f>
        <v>-2.0656615471325929E-2</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0.20911949685534592</v>
      </c>
      <c r="C23" s="1152">
        <f>IF(ISNUMBER(
   IF(Criterios!B14="SI",(Datos!J23-Datos!T23)/Datos!T23,(Datos!J23+Datos!AD23-(Datos!T23+Datos!AL23))/(Datos!T23+Datos!AL23))
     ),IF(Criterios!B14="SI",(Datos!J23-Datos!T23)/Datos!T23,(Datos!J23+Datos!AD23-(Datos!T23+Datos!AL23))/(Datos!T23+Datos!AL23))," - ")</f>
        <v>6.83453237410072E-2</v>
      </c>
      <c r="D23" s="1152">
        <f>IF(ISNUMBER(
   IF(Criterios!B14="SI",(Datos!K23-Datos!U23)/Datos!U23,(Datos!K23+Datos!AE23-(Datos!U23+Datos!AM23))/(Datos!U23+Datos!AM23))
     ),IF(Criterios!B14="SI",(Datos!K23-Datos!U23)/Datos!U23,(Datos!K23+Datos!AE23-(Datos!U23+Datos!AM23))/(Datos!U23+Datos!AM23))," - ")</f>
        <v>4.0210627094303494E-2</v>
      </c>
      <c r="E23" s="1152">
        <f>IF(ISNUMBER(
   IF(Criterios!B14="SI",(Datos!L23-Datos!V23)/Datos!V23,(Datos!L23+Datos!AF23-(Datos!V23+Datos!AN23))/(Datos!V23+Datos!AN23))
     ),IF(Criterios!B14="SI",(Datos!L23-Datos!V23)/Datos!V23,(Datos!L23+Datos!AF23-(Datos!V23+Datos!AN23))/(Datos!V23+Datos!AN23))," - ")</f>
        <v>0.25437112239142695</v>
      </c>
      <c r="F23" s="1153">
        <f>IF(ISNUMBER((Datos!M23-Datos!W23)/Datos!W23),(Datos!M23-Datos!W23)/Datos!W23," - ")</f>
        <v>8.4507042253521118E-3</v>
      </c>
      <c r="G23" s="1154">
        <f>IF(ISNUMBER((Datos!N23-Datos!X23)/Datos!X23),(Datos!N23-Datos!X23)/Datos!X23," - ")</f>
        <v>2.276707530647986E-2</v>
      </c>
      <c r="H23" s="1154">
        <f>IF(ISNUMBER(((NºAsuntos!G23/NºAsuntos!E23)-Datos!BD23)/Datos!BD23),((NºAsuntos!G23/NºAsuntos!E23)-Datos!BD23)/Datos!BD23," - ")</f>
        <v>-2.6334833898261405E-2</v>
      </c>
      <c r="I23" s="1154">
        <f>IF(ISNUMBER(((NºAsuntos!I23/NºAsuntos!G23)-Datos!BE23)/Datos!BE23),((NºAsuntos!I23/NºAsuntos!G23)-Datos!BE23)/Datos!BE23," - ")</f>
        <v>0.20588185673064474</v>
      </c>
      <c r="J23" s="1154">
        <f>IF(ISNUMBER((('Resol  Asuntos'!D23/NºAsuntos!G23)-Datos!BF23)/Datos!BF23),(('Resol  Asuntos'!D23/NºAsuntos!G23)-Datos!BF23)/Datos!BF23," - ")</f>
        <v>-3.053220380728924E-2</v>
      </c>
      <c r="K23" s="1154">
        <f>IF(ISNUMBER((((NºAsuntos!C23+NºAsuntos!E23)/NºAsuntos!G23)-Datos!BG23)/Datos!BG23),(((NºAsuntos!C23+NºAsuntos!E23)/NºAsuntos!G23)-Datos!BG23)/Datos!BG23," - ")</f>
        <v>9.4046121062594953E-2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6.7020335985853233E-2</v>
      </c>
      <c r="C31" s="1092">
        <f>IF(ISNUMBER(
   IF(J_V="SI",(Datos!J31-Datos!T31)/Datos!T31,(Datos!J31+Datos!Z31-(Datos!T31+Datos!AH31))/(Datos!T31+Datos!AH31))
     ),IF(J_V="SI",(Datos!J31-Datos!T31)/Datos!T31,(Datos!J31+Datos!Z31-(Datos!T31+Datos!AH31))/(Datos!T31+Datos!AH31))," - ")</f>
        <v>6.5494823019503975E-2</v>
      </c>
      <c r="D31" s="1092">
        <f>IF(ISNUMBER(
   IF(J_V="SI",(Datos!K31-Datos!U31)/Datos!U31,(Datos!K31+Datos!AA31-(Datos!U31+Datos!AI31))/(Datos!U31+Datos!AI31))
     ),IF(J_V="SI",(Datos!K31-Datos!U31)/Datos!U31,(Datos!K31+Datos!AA31-(Datos!U31+Datos!AI31))/(Datos!U31+Datos!AI31))," - ")</f>
        <v>1.2621789193976971E-2</v>
      </c>
      <c r="E31" s="1092">
        <f>IF(ISNUMBER(
   IF(J_V="SI",(Datos!L31-Datos!V31)/Datos!V31,(Datos!L31+Datos!AB31-(Datos!V31+Datos!AJ31))/(Datos!V31+Datos!AJ31))
     ),IF(J_V="SI",(Datos!L31-Datos!V31)/Datos!V31,(Datos!L31+Datos!AB31-(Datos!V31+Datos!AJ31))/(Datos!V31+Datos!AJ31))," - ")</f>
        <v>0.14593859308200544</v>
      </c>
      <c r="F31" s="1093">
        <f>IF(ISNUMBER((Datos!M31-Datos!W31)/Datos!W31),(Datos!M31-Datos!W31)/Datos!W31," - ")</f>
        <v>-2.8301886792452828E-3</v>
      </c>
      <c r="G31" s="1094">
        <f>IF(ISNUMBER((Datos!N31-Datos!X31)/Datos!X31),(Datos!N31-Datos!X31)/Datos!X31," - ")</f>
        <v>4.8661800486618006E-3</v>
      </c>
      <c r="H31" s="1095">
        <f>IF(ISNUMBER((Tasas!B31-Datos!BD31)/Datos!BD31),(Tasas!B31-Datos!BD31)/Datos!BD31," - ")</f>
        <v>-4.9622985192635714E-2</v>
      </c>
      <c r="I31" s="1096">
        <f>IF(ISNUMBER((Tasas!C31-Datos!BE31)/Datos!BE31),(Tasas!C31-Datos!BE31)/Datos!BE31," - ")</f>
        <v>0.13165508120672118</v>
      </c>
      <c r="J31" s="1097">
        <f>IF(ISNUMBER((Tasas!D31-Datos!BF31)/Datos!BF31),(Tasas!D31-Datos!BF31)/Datos!BF31," - ")</f>
        <v>-0.1819552820254087</v>
      </c>
      <c r="K31" s="1097">
        <f>IF(ISNUMBER((Tasas!E31-Datos!BG31)/Datos!BG31),(Tasas!E31-Datos!BG31)/Datos!BG31," - ")</f>
        <v>5.3082601652582426E-2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E7FMXxdzH6FSVC4B5E4KRr4TOtftzdJ8/8OPl777t2l++UVDFqvon64MCBsculL1OkywjJUJbjA01s4P3IXXw==" saltValue="C4gdHZCxb2xe8gJHkj/r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LOGROÑO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1.010465724751439</v>
      </c>
      <c r="C9" s="498">
        <f>IF(ISNUMBER(NºAsuntos!I9/NºAsuntos!G9),NºAsuntos!I9/NºAsuntos!G9," - ")</f>
        <v>1.4805800103573279</v>
      </c>
      <c r="D9" s="499">
        <f>IF(ISNUMBER('Resol  Asuntos'!D9/NºAsuntos!G9),'Resol  Asuntos'!D9/NºAsuntos!G9," - ")</f>
        <v>0.28379078197824958</v>
      </c>
      <c r="E9" s="500">
        <f>IF(ISNUMBER((NºAsuntos!C9+NºAsuntos!E9)/NºAsuntos!G9),(NºAsuntos!C9+NºAsuntos!E9)/NºAsuntos!G9," - ")</f>
        <v>2.4805800103573277</v>
      </c>
      <c r="G9" s="523"/>
    </row>
    <row r="10" spans="1:7">
      <c r="A10" s="450" t="str">
        <f>Datos!A10</f>
        <v>Jdos. Violencia contra la mujer</v>
      </c>
      <c r="B10" s="497">
        <f>IF(ISNUMBER(NºAsuntos!G10/NºAsuntos!E10),NºAsuntos!G10/NºAsuntos!E10," - ")</f>
        <v>0.74545454545454548</v>
      </c>
      <c r="C10" s="498">
        <f>IF(ISNUMBER(NºAsuntos!I10/NºAsuntos!G10),NºAsuntos!I10/NºAsuntos!G10," - ")</f>
        <v>3.6585365853658538</v>
      </c>
      <c r="D10" s="499">
        <f>IF(ISNUMBER('Resol  Asuntos'!D10/NºAsuntos!G10),'Resol  Asuntos'!D10/NºAsuntos!G10," - ")</f>
        <v>0.73170731707317072</v>
      </c>
      <c r="E10" s="500">
        <f>IF(ISNUMBER((NºAsuntos!C10+NºAsuntos!E10)/NºAsuntos!G10),(NºAsuntos!C10+NºAsuntos!E10)/NºAsuntos!G10," - ")</f>
        <v>4.6585365853658534</v>
      </c>
      <c r="G10" s="523"/>
    </row>
    <row r="11" spans="1:7">
      <c r="A11" s="450" t="str">
        <f>Datos!A11</f>
        <v xml:space="preserve">Jdos. Familia                                   </v>
      </c>
      <c r="B11" s="497">
        <f>IF(ISNUMBER(NºAsuntos!G11/NºAsuntos!E11),NºAsuntos!G11/NºAsuntos!E11," - ")</f>
        <v>1.1263157894736842</v>
      </c>
      <c r="C11" s="498">
        <f>IF(ISNUMBER(NºAsuntos!I11/NºAsuntos!G11),NºAsuntos!I11/NºAsuntos!G11," - ")</f>
        <v>1.5490654205607477</v>
      </c>
      <c r="D11" s="499">
        <f>IF(ISNUMBER('Resol  Asuntos'!D11/NºAsuntos!G11),'Resol  Asuntos'!D11/NºAsuntos!G11," - ")</f>
        <v>0.28271028037383178</v>
      </c>
      <c r="E11" s="500">
        <f>IF(ISNUMBER((NºAsuntos!C11+NºAsuntos!E11)/NºAsuntos!G11),(NºAsuntos!C11+NºAsuntos!E11)/NºAsuntos!G11," - ")</f>
        <v>2.5490654205607477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1.0230179028132993</v>
      </c>
      <c r="C14" s="1156">
        <f>IF(ISNUMBER(NºAsuntos!I14/NºAsuntos!G14),NºAsuntos!I14/NºAsuntos!G14," - ")</f>
        <v>1.5304166666666668</v>
      </c>
      <c r="D14" s="1157">
        <f>IF(ISNUMBER('Resol  Asuntos'!D14/NºAsuntos!G14),'Resol  Asuntos'!D14/NºAsuntos!G14," - ")</f>
        <v>0.29125000000000001</v>
      </c>
      <c r="E14" s="1158">
        <f>IF(ISNUMBER((NºAsuntos!C14+NºAsuntos!E14)/NºAsuntos!G14),(NºAsuntos!C14+NºAsuntos!E14)/NºAsuntos!G14," - ")</f>
        <v>2.5304166666666665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1.0012247397428047</v>
      </c>
      <c r="C16" s="498">
        <f>IF(ISNUMBER(NºAsuntos!I16/NºAsuntos!G16),NºAsuntos!I16/NºAsuntos!G16," - ")</f>
        <v>1.0764525993883791</v>
      </c>
      <c r="D16" s="499">
        <f>IF(ISNUMBER('Resol  Asuntos'!D16/NºAsuntos!G16),'Resol  Asuntos'!D16/NºAsuntos!G16," - ")</f>
        <v>0.19694189602446482</v>
      </c>
      <c r="E16" s="500">
        <f>IF(ISNUMBER((NºAsuntos!C16+NºAsuntos!E16)/NºAsuntos!G16),(NºAsuntos!C16+NºAsuntos!E16)/NºAsuntos!G16," - ")</f>
        <v>2.070336391437309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1.0396475770925111</v>
      </c>
      <c r="C18" s="498">
        <f>IF(ISNUMBER(NºAsuntos!I18/NºAsuntos!G18),NºAsuntos!I18/NºAsuntos!G18," - ")</f>
        <v>0.94491525423728817</v>
      </c>
      <c r="D18" s="499">
        <f>IF(ISNUMBER('Resol  Asuntos'!D18/NºAsuntos!G18),'Resol  Asuntos'!D18/NºAsuntos!G18," - ")</f>
        <v>0.15254237288135594</v>
      </c>
      <c r="E18" s="500">
        <f>IF(ISNUMBER((NºAsuntos!C18+NºAsuntos!E18)/NºAsuntos!G18),(NºAsuntos!C18+NºAsuntos!E18)/NºAsuntos!G18," - ")</f>
        <v>1.9406779661016949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f>IF(ISNUMBER(NºAsuntos!G20/NºAsuntos!E20),NºAsuntos!G20/NºAsuntos!E20," - ")</f>
        <v>1.3789954337899544</v>
      </c>
      <c r="C20" s="498">
        <f>IF(ISNUMBER(NºAsuntos!I20/NºAsuntos!G20),NºAsuntos!I20/NºAsuntos!G20," - ")</f>
        <v>0.79801324503311255</v>
      </c>
      <c r="D20" s="499" t="str">
        <f>IF(ISNUMBER('Resol  Asuntos'!D20/NºAsuntos!G20),'Resol  Asuntos'!D20/NºAsuntos!G20," - ")</f>
        <v xml:space="preserve"> - </v>
      </c>
      <c r="E20" s="500">
        <f>IF(ISNUMBER((NºAsuntos!C20+NºAsuntos!E20)/NºAsuntos!G20),(NºAsuntos!C20+NºAsuntos!E20)/NºAsuntos!G20," - ")</f>
        <v>1.7980132450331126</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1.0452140452140453</v>
      </c>
      <c r="C23" s="1156">
        <f>IF(ISNUMBER(NºAsuntos!I23/NºAsuntos!G23),NºAsuntos!I23/NºAsuntos!G23," - ")</f>
        <v>1.0234698573400829</v>
      </c>
      <c r="D23" s="1159">
        <f>IF(ISNUMBER('Resol  Asuntos'!D23/NºAsuntos!G23),'Resol  Asuntos'!D23/NºAsuntos!G23," - ")</f>
        <v>0.16474919466175794</v>
      </c>
      <c r="E23" s="1158">
        <f>IF(ISNUMBER((NºAsuntos!C23+NºAsuntos!E23)/NºAsuntos!G23),(NºAsuntos!C23+NºAsuntos!E23)/NºAsuntos!G23," - ")</f>
        <v>2.0184077312471236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1.0334463276836159</v>
      </c>
      <c r="C31" s="1099">
        <f>IF(ISNUMBER(NºAsuntos!I31/NºAsuntos!G31),NºAsuntos!I31/NºAsuntos!G31," - ")</f>
        <v>1.2895254756177563</v>
      </c>
      <c r="D31" s="1100">
        <f>IF(ISNUMBER('Resol  Asuntos'!D31/NºAsuntos!G31),'Resol  Asuntos'!D31/NºAsuntos!G31," - ")</f>
        <v>0.23113929586704571</v>
      </c>
      <c r="E31" s="1101">
        <f>IF(ISNUMBER((NºAsuntos!C31+NºAsuntos!E31)/NºAsuntos!G31),(NºAsuntos!C31+NºAsuntos!E31)/NºAsuntos!G31," - ")</f>
        <v>2.2871200524819595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y+uof9WLwQDYcg2O3gWFIjWqBUR5yCIr431h11VLLWEDlf1YVCV90pMFdAoTkkphJOzeYyzWW/2TYmnqs4WOw==" saltValue="3Y0AApdv6amfaawO73XS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LOGROÑO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2 al 2</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317</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569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558</v>
      </c>
      <c r="Y9" s="374">
        <f>SUM(W9:X9)</f>
        <v>558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6264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548</v>
      </c>
      <c r="AJ9" s="243" t="str">
        <f>IF(ISNUMBER(Datos!BW9),Datos!BW9," - ")</f>
        <v xml:space="preserve"> - </v>
      </c>
      <c r="AK9" s="242" t="str">
        <f>IF(ISNUMBER(Datos!BX9),Datos!BX9," - ")</f>
        <v xml:space="preserve"> - </v>
      </c>
      <c r="AL9" s="266">
        <f>IF(ISNUMBER(NºAsuntos!G9/NºAsuntos!E9),NºAsuntos!G9/NºAsuntos!E9," - ")</f>
        <v>1.010465724751439</v>
      </c>
      <c r="AM9" s="284">
        <f>IF(ISNUMBER(((NºAsuntos!I9/NºAsuntos!G9)*11)/factor_trimestre),((NºAsuntos!I9/NºAsuntos!G9)*11)/factor_trimestre," - ")</f>
        <v>4.4417400310719843</v>
      </c>
      <c r="AN9" s="267">
        <f>IF(ISNUMBER('Resol  Asuntos'!D9/NºAsuntos!G9),'Resol  Asuntos'!D9/NºAsuntos!G9," - ")</f>
        <v>0.28379078197824958</v>
      </c>
      <c r="AO9" s="268">
        <f>IF(ISNUMBER((NºAsuntos!C9+NºAsuntos!E9)/NºAsuntos!G9),(NºAsuntos!C9+NºAsuntos!E9)/NºAsuntos!G9," - ")</f>
        <v>2.4805800103573277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136</v>
      </c>
      <c r="G10" s="373">
        <f>IF(ISNUMBER(Datos!I10),Datos!I10," - ")</f>
        <v>136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41</v>
      </c>
      <c r="X10" s="240">
        <f>IF(ISNUMBER(Datos!Q10),Datos!Q10," - ")</f>
        <v>8</v>
      </c>
      <c r="Y10" s="374">
        <f t="shared" ref="Y10:Y13" si="0">SUM(W10:X10)</f>
        <v>49</v>
      </c>
      <c r="Z10" s="375" t="str">
        <f>IF(ISNUMBER(Datos!CC10),Datos!CC10," - ")</f>
        <v xml:space="preserve"> - </v>
      </c>
      <c r="AA10" s="372">
        <f>IF(ISNUMBER(Datos!L10),Datos!L10,"-")</f>
        <v>150</v>
      </c>
      <c r="AB10" s="374">
        <f>IF(ISNUMBER(Datos!R10),Datos!R10," - ")</f>
        <v>156</v>
      </c>
      <c r="AC10" s="374">
        <f t="shared" ref="AC10:AC13" si="1">IF(ISNUMBER(AA10+AB10),AA10+AB10," - ")</f>
        <v>306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30</v>
      </c>
      <c r="AJ10" s="245" t="str">
        <f>IF(ISNUMBER(Datos!BW10),Datos!BW10," - ")</f>
        <v xml:space="preserve"> - </v>
      </c>
      <c r="AK10" s="246" t="str">
        <f>IF(ISNUMBER(Datos!BX10),Datos!BX10," - ")</f>
        <v xml:space="preserve"> - </v>
      </c>
      <c r="AL10" s="266">
        <f>IF(ISNUMBER(NºAsuntos!G10/NºAsuntos!E10),NºAsuntos!G10/NºAsuntos!E10," - ")</f>
        <v>0.74545454545454548</v>
      </c>
      <c r="AM10" s="284">
        <f>IF(ISNUMBER(((NºAsuntos!I10/NºAsuntos!G10)*11)/factor_trimestre),((NºAsuntos!I10/NºAsuntos!G10)*11)/factor_trimestre," - ")</f>
        <v>10.975609756097562</v>
      </c>
      <c r="AN10" s="267">
        <f>IF(ISNUMBER('Resol  Asuntos'!D10/NºAsuntos!G10),'Resol  Asuntos'!D10/NºAsuntos!G10," - ")</f>
        <v>0.73170731707317072</v>
      </c>
      <c r="AO10" s="268">
        <f>IF(ISNUMBER((NºAsuntos!C10+NºAsuntos!E10)/NºAsuntos!G10),(NºAsuntos!C10+NºAsuntos!E10)/NºAsuntos!G10," - ")</f>
        <v>4.6585365853658534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37</v>
      </c>
      <c r="Y11" s="374">
        <f t="shared" si="0"/>
        <v>37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513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121</v>
      </c>
      <c r="AJ11" s="245" t="str">
        <f>IF(ISNUMBER(Datos!BW11),Datos!BW11," - ")</f>
        <v xml:space="preserve"> - </v>
      </c>
      <c r="AK11" s="246" t="str">
        <f>IF(ISNUMBER(Datos!BX11),Datos!BX11," - ")</f>
        <v xml:space="preserve"> - </v>
      </c>
      <c r="AL11" s="266">
        <f>IF(ISNUMBER(NºAsuntos!G11/NºAsuntos!E11),NºAsuntos!G11/NºAsuntos!E11," - ")</f>
        <v>1.1263157894736842</v>
      </c>
      <c r="AM11" s="284">
        <f>IF(ISNUMBER(((NºAsuntos!I11/NºAsuntos!G11)*11)/factor_trimestre),((NºAsuntos!I11/NºAsuntos!G11)*11)/factor_trimestre," - ")</f>
        <v>4.6471962616822431</v>
      </c>
      <c r="AN11" s="267">
        <f>IF(ISNUMBER('Resol  Asuntos'!D11/NºAsuntos!G11),'Resol  Asuntos'!D11/NºAsuntos!G11," - ")</f>
        <v>0.28271028037383178</v>
      </c>
      <c r="AO11" s="268">
        <f>IF(ISNUMBER((NºAsuntos!C11+NºAsuntos!E11)/NºAsuntos!G11),(NºAsuntos!C11+NºAsuntos!E11)/NºAsuntos!G11," - ")</f>
        <v>2.5490654205607477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136</v>
      </c>
      <c r="G14" s="1163">
        <f t="shared" si="5"/>
        <v>136</v>
      </c>
      <c r="H14" s="1162">
        <f t="shared" si="5"/>
        <v>0</v>
      </c>
      <c r="I14" s="1164">
        <f t="shared" si="5"/>
        <v>0</v>
      </c>
      <c r="J14" s="1164">
        <f t="shared" si="5"/>
        <v>0</v>
      </c>
      <c r="K14" s="1164">
        <f t="shared" si="5"/>
        <v>0</v>
      </c>
      <c r="L14" s="1164">
        <f t="shared" si="5"/>
        <v>623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41</v>
      </c>
      <c r="X14" s="1164">
        <f t="shared" si="6"/>
        <v>605</v>
      </c>
      <c r="Y14" s="1165">
        <f t="shared" si="6"/>
        <v>646</v>
      </c>
      <c r="Z14" s="1165">
        <f t="shared" si="6"/>
        <v>0</v>
      </c>
      <c r="AA14" s="1165">
        <f t="shared" si="6"/>
        <v>150</v>
      </c>
      <c r="AB14" s="1165">
        <f t="shared" si="6"/>
        <v>6990</v>
      </c>
      <c r="AC14" s="1165">
        <f t="shared" si="6"/>
        <v>306</v>
      </c>
      <c r="AD14" s="1165">
        <f t="shared" si="6"/>
        <v>0</v>
      </c>
      <c r="AE14" s="1169">
        <f t="shared" si="6"/>
        <v>0</v>
      </c>
      <c r="AF14" s="1162">
        <f t="shared" si="6"/>
        <v>0</v>
      </c>
      <c r="AG14" s="1170">
        <f t="shared" si="6"/>
        <v>0</v>
      </c>
      <c r="AH14" s="1167">
        <f t="shared" si="6"/>
        <v>0</v>
      </c>
      <c r="AI14" s="1162">
        <f t="shared" si="6"/>
        <v>699</v>
      </c>
      <c r="AJ14" s="1164">
        <f t="shared" si="6"/>
        <v>0</v>
      </c>
      <c r="AK14" s="1167">
        <f>SUBTOTAL(9,AK9:AK13)</f>
        <v>0</v>
      </c>
      <c r="AL14" s="1171">
        <f>IF(ISNUMBER(NºAsuntos!G14/NºAsuntos!E14),NºAsuntos!G14/NºAsuntos!E14," - ")</f>
        <v>1.0230179028132993</v>
      </c>
      <c r="AM14" s="1171">
        <f>IF(ISNUMBER(((NºAsuntos!I14/NºAsuntos!G14)*11)/factor_trimestre),((NºAsuntos!I14/NºAsuntos!G14)*11)/factor_trimestre," - ")</f>
        <v>4.5912500000000005</v>
      </c>
      <c r="AN14" s="1172">
        <f>IF(ISNUMBER('Resol  Asuntos'!D14/NºAsuntos!G14),'Resol  Asuntos'!D14/NºAsuntos!G14," - ")</f>
        <v>0.29125000000000001</v>
      </c>
      <c r="AO14" s="1173">
        <f>IF(ISNUMBER((NºAsuntos!C14+NºAsuntos!E14)/NºAsuntos!G14),(NºAsuntos!C14+NºAsuntos!E14)/NºAsuntos!G14," - ")</f>
        <v>2.5304166666666665</v>
      </c>
      <c r="AP14" s="1174" t="str">
        <f t="shared" si="2"/>
        <v xml:space="preserve"> - </v>
      </c>
      <c r="AQ14" s="1174">
        <f>IF(ISNUMBER((H14-W14+K14)/(F14)),(H14-W14+K14)/(F14)," - ")</f>
        <v>-0.3014705882352941</v>
      </c>
      <c r="AR14" s="1175">
        <f>IF(ISNUMBER((Datos!P14-Datos!Q14)/(Datos!R14-Datos!P14+Datos!Q14)),(Datos!P14-Datos!Q14)/(Datos!R14-Datos!P14+Datos!Q14)," - ")</f>
        <v>2.5817555938037868E-3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1762</v>
      </c>
      <c r="G16" s="373">
        <f>IF(ISNUMBER(IF(D_I="SI",Datos!I16,Datos!I16+Datos!AC16)),IF(D_I="SI",Datos!I16,Datos!I16+Datos!AC16)," - ")</f>
        <v>1752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1635</v>
      </c>
      <c r="X16" s="240">
        <f>IF(ISNUMBER(Datos!Q16),Datos!Q16," - ")</f>
        <v>86</v>
      </c>
      <c r="Y16" s="374">
        <f>SUM(W16)</f>
        <v>1635</v>
      </c>
      <c r="Z16" s="375" t="str">
        <f>IF(ISNUMBER(Datos!CC16),Datos!CC16," - ")</f>
        <v xml:space="preserve"> - </v>
      </c>
      <c r="AA16" s="372">
        <f>IF(ISNUMBER(IF(D_I="SI",Datos!L16,Datos!L16+Datos!AF16)),IF(D_I="SI",Datos!L16,Datos!L16+Datos!AF16)," - ")</f>
        <v>1760</v>
      </c>
      <c r="AB16" s="374">
        <f>IF(ISNUMBER(Datos!R16),Datos!R16," - ")</f>
        <v>268</v>
      </c>
      <c r="AC16" s="374">
        <f t="shared" ref="AC16:AC22" si="8">IF(ISNUMBER(AA16+AB16),AA16+AB16," - ")</f>
        <v>2028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322</v>
      </c>
      <c r="AJ16" s="245" t="str">
        <f>IF(ISNUMBER(Datos!BW16),Datos!BW16," - ")</f>
        <v xml:space="preserve"> - </v>
      </c>
      <c r="AK16" s="246" t="str">
        <f>IF(ISNUMBER(Datos!BX16),Datos!BX16," - ")</f>
        <v xml:space="preserve"> - </v>
      </c>
      <c r="AL16" s="266">
        <f>IF(ISNUMBER(NºAsuntos!G16/NºAsuntos!E16),NºAsuntos!G16/NºAsuntos!E16," - ")</f>
        <v>1.0012247397428047</v>
      </c>
      <c r="AM16" s="284">
        <f>IF(ISNUMBER(((NºAsuntos!I16/NºAsuntos!G16)*11)/factor_trimestre),((NºAsuntos!I16/NºAsuntos!G16)*11)/factor_trimestre," - ")</f>
        <v>3.2293577981651378</v>
      </c>
      <c r="AN16" s="267">
        <f>IF(ISNUMBER('Resol  Asuntos'!D16/NºAsuntos!G16),'Resol  Asuntos'!D16/NºAsuntos!G16," - ")</f>
        <v>0.19694189602446482</v>
      </c>
      <c r="AO16" s="268">
        <f>IF(ISNUMBER((NºAsuntos!C16+NºAsuntos!E16)/NºAsuntos!G16),(NºAsuntos!C16+NºAsuntos!E16)/NºAsuntos!G16," - ")</f>
        <v>2.070336391437309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236</v>
      </c>
      <c r="X18" s="240">
        <f>IF(ISNUMBER(Datos!Q18),Datos!Q18," - ")</f>
        <v>1</v>
      </c>
      <c r="Y18" s="374">
        <f t="shared" si="9"/>
        <v>237</v>
      </c>
      <c r="Z18" s="375" t="str">
        <f>IF(ISNUMBER(Datos!CC18),Datos!CC18," - ")</f>
        <v xml:space="preserve"> - </v>
      </c>
      <c r="AA18" s="372">
        <f>IF(ISNUMBER(Datos!L18),Datos!L18,"-")</f>
        <v>223</v>
      </c>
      <c r="AB18" s="374">
        <f>IF(ISNUMBER(Datos!R18),Datos!R18," - ")</f>
        <v>8</v>
      </c>
      <c r="AC18" s="374">
        <f t="shared" si="8"/>
        <v>231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36</v>
      </c>
      <c r="AJ18" s="245" t="str">
        <f>IF(ISNUMBER(Datos!BW18),Datos!BW18," - ")</f>
        <v xml:space="preserve"> - </v>
      </c>
      <c r="AK18" s="246" t="str">
        <f>IF(ISNUMBER(Datos!BX18),Datos!BX18," - ")</f>
        <v xml:space="preserve"> - </v>
      </c>
      <c r="AL18" s="266">
        <f>IF(ISNUMBER(NºAsuntos!G18/NºAsuntos!E18),NºAsuntos!G18/NºAsuntos!E18," - ")</f>
        <v>1.0396475770925111</v>
      </c>
      <c r="AM18" s="284">
        <f>IF(ISNUMBER(((NºAsuntos!I18/NºAsuntos!G18)*11)/factor_trimestre),((NºAsuntos!I18/NºAsuntos!G18)*11)/factor_trimestre," - ")</f>
        <v>2.8347457627118646</v>
      </c>
      <c r="AN18" s="267">
        <f>IF(ISNUMBER('Resol  Asuntos'!D18/NºAsuntos!G18),'Resol  Asuntos'!D18/NºAsuntos!G18," - ")</f>
        <v>0.15254237288135594</v>
      </c>
      <c r="AO18" s="268">
        <f>IF(ISNUMBER((NºAsuntos!C18+NºAsuntos!E18)/NºAsuntos!G18),(NºAsuntos!C18+NºAsuntos!E18)/NºAsuntos!G18," - ")</f>
        <v>1.9406779661016949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f>IF(ISNUMBER(Datos!L20+Datos!K20-Datos!J20-K20),Datos!L20+Datos!K20-Datos!J20-K20," - ")</f>
        <v>324</v>
      </c>
      <c r="G20" s="543">
        <f>IF(ISNUMBER(Datos!I20),Datos!I20," - ")</f>
        <v>324</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f>IF(ISNUMBER(Datos!K20),Datos!K20," - ")</f>
        <v>302</v>
      </c>
      <c r="X20" s="547" t="str">
        <f>IF(ISNUMBER(Datos!Q20),Datos!Q20," - ")</f>
        <v xml:space="preserve"> - </v>
      </c>
      <c r="Y20" s="549">
        <f t="shared" si="9"/>
        <v>302</v>
      </c>
      <c r="Z20" s="766" t="str">
        <f>IF(ISNUMBER(Datos!CC20),Datos!CC20," - ")</f>
        <v xml:space="preserve"> - </v>
      </c>
      <c r="AA20" s="551">
        <f>IF(ISNUMBER(Datos!L20),Datos!L20,"-")</f>
        <v>241</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f>IF(ISNUMBER(Datos!N20),Datos!N20," - ")</f>
        <v>243</v>
      </c>
      <c r="AJ20" s="794" t="str">
        <f>IF(ISNUMBER(Datos!BW20),Datos!BW20," - ")</f>
        <v xml:space="preserve"> - </v>
      </c>
      <c r="AK20" s="795" t="str">
        <f>IF(ISNUMBER(Datos!BX20),Datos!BX20," - ")</f>
        <v xml:space="preserve"> - </v>
      </c>
      <c r="AL20" s="763">
        <f>IF(ISNUMBER(NºAsuntos!G20/NºAsuntos!E20),NºAsuntos!G20/NºAsuntos!E20," - ")</f>
        <v>1.3789954337899544</v>
      </c>
      <c r="AM20" s="764">
        <f>IF(ISNUMBER(((NºAsuntos!I20/NºAsuntos!G20)*11)/factor_trimestre),((NºAsuntos!I20/NºAsuntos!G20)*11)/factor_trimestre," - ")</f>
        <v>2.3940397350993377</v>
      </c>
      <c r="AN20" s="796" t="str">
        <f>IF(ISNUMBER('Resol  Asuntos'!D20/NºAsuntos!G20),'Resol  Asuntos'!D20/NºAsuntos!G20," - ")</f>
        <v xml:space="preserve"> - </v>
      </c>
      <c r="AO20" s="797">
        <f>IF(ISNUMBER((NºAsuntos!C20+NºAsuntos!E20)/NºAsuntos!G20),(NºAsuntos!C20+NºAsuntos!E20)/NºAsuntos!G20," - ")</f>
        <v>1.7980132450331126</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2086</v>
      </c>
      <c r="G23" s="1163">
        <f>SUBTOTAL(9,G16:G22)</f>
        <v>2307</v>
      </c>
      <c r="H23" s="1162">
        <f t="shared" ref="H23:O23" si="13">SUBTOTAL(9,H15:H22)</f>
        <v>0</v>
      </c>
      <c r="I23" s="1164">
        <f t="shared" si="13"/>
        <v>0</v>
      </c>
      <c r="J23" s="1164">
        <f t="shared" si="13"/>
        <v>0</v>
      </c>
      <c r="K23" s="1164">
        <f t="shared" si="13"/>
        <v>0</v>
      </c>
      <c r="L23" s="1164">
        <f t="shared" si="13"/>
        <v>112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2173</v>
      </c>
      <c r="X23" s="1164">
        <f t="shared" si="14"/>
        <v>87</v>
      </c>
      <c r="Y23" s="1165">
        <f t="shared" si="14"/>
        <v>2174</v>
      </c>
      <c r="Z23" s="1165">
        <f t="shared" si="14"/>
        <v>0</v>
      </c>
      <c r="AA23" s="1165">
        <f t="shared" si="14"/>
        <v>2224</v>
      </c>
      <c r="AB23" s="1165">
        <f t="shared" si="14"/>
        <v>276</v>
      </c>
      <c r="AC23" s="1165">
        <f t="shared" si="14"/>
        <v>2259</v>
      </c>
      <c r="AD23" s="1165">
        <f t="shared" si="14"/>
        <v>0</v>
      </c>
      <c r="AE23" s="1169">
        <f t="shared" si="14"/>
        <v>0</v>
      </c>
      <c r="AF23" s="1162">
        <f t="shared" si="14"/>
        <v>0</v>
      </c>
      <c r="AG23" s="1170">
        <f t="shared" si="14"/>
        <v>0</v>
      </c>
      <c r="AH23" s="1167">
        <f t="shared" si="14"/>
        <v>0</v>
      </c>
      <c r="AI23" s="1162">
        <f t="shared" si="14"/>
        <v>601</v>
      </c>
      <c r="AJ23" s="1164">
        <f t="shared" si="14"/>
        <v>0</v>
      </c>
      <c r="AK23" s="1167">
        <f t="shared" si="14"/>
        <v>0</v>
      </c>
      <c r="AL23" s="1171">
        <f>IF(ISNUMBER(NºAsuntos!G23/NºAsuntos!E23),NºAsuntos!G23/NºAsuntos!E23," - ")</f>
        <v>1.0452140452140453</v>
      </c>
      <c r="AM23" s="1171">
        <f>IF(ISNUMBER(((NºAsuntos!I23/NºAsuntos!G23)*11)/factor_trimestre),((NºAsuntos!I23/NºAsuntos!G23)*11)/factor_trimestre," - ")</f>
        <v>3.0704095720202491</v>
      </c>
      <c r="AN23" s="1172">
        <f>IF(ISNUMBER('Resol  Asuntos'!D23/NºAsuntos!G23),'Resol  Asuntos'!D23/NºAsuntos!G23," - ")</f>
        <v>0.16474919466175794</v>
      </c>
      <c r="AO23" s="1173">
        <f>IF(ISNUMBER((NºAsuntos!C23+NºAsuntos!E23)/NºAsuntos!G23),(NºAsuntos!C23+NºAsuntos!E23)/NºAsuntos!G23," - ")</f>
        <v>2.0184077312471236</v>
      </c>
      <c r="AP23" s="1174" t="str">
        <f t="shared" si="2"/>
        <v xml:space="preserve"> - </v>
      </c>
      <c r="AQ23" s="1174">
        <f>IF(ISNUMBER((H23-W23+K23)/(F23)),(H23-W23+K23)/(F23)," - ")</f>
        <v>-1.0417066155321189</v>
      </c>
      <c r="AR23" s="1175">
        <f>IF(ISNUMBER((Datos!P23-Datos!Q23)/(Datos!R23-Datos!P23+Datos!Q23)),(Datos!P23-Datos!Q23)/(Datos!R23-Datos!P23+Datos!Q23)," - ")</f>
        <v>9.9601593625498003E-2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2222</v>
      </c>
      <c r="G31" s="1118">
        <f t="shared" si="20"/>
        <v>2443</v>
      </c>
      <c r="H31" s="1117">
        <f t="shared" si="20"/>
        <v>0</v>
      </c>
      <c r="I31" s="1119">
        <f t="shared" si="20"/>
        <v>0</v>
      </c>
      <c r="J31" s="1119">
        <f t="shared" si="20"/>
        <v>0</v>
      </c>
      <c r="K31" s="1180">
        <f t="shared" si="20"/>
        <v>0</v>
      </c>
      <c r="L31" s="1119">
        <f t="shared" si="20"/>
        <v>735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2214</v>
      </c>
      <c r="X31" s="1118">
        <f t="shared" si="21"/>
        <v>692</v>
      </c>
      <c r="Y31" s="1125">
        <f t="shared" si="21"/>
        <v>2820</v>
      </c>
      <c r="Z31" s="1125">
        <f t="shared" si="21"/>
        <v>0</v>
      </c>
      <c r="AA31" s="1125">
        <f t="shared" si="21"/>
        <v>2374</v>
      </c>
      <c r="AB31" s="1125">
        <f t="shared" si="21"/>
        <v>7266</v>
      </c>
      <c r="AC31" s="1125">
        <f t="shared" si="21"/>
        <v>2565</v>
      </c>
      <c r="AD31" s="1125">
        <f t="shared" si="21"/>
        <v>0</v>
      </c>
      <c r="AE31" s="1127">
        <f t="shared" si="21"/>
        <v>0</v>
      </c>
      <c r="AF31" s="1128">
        <f t="shared" si="21"/>
        <v>0</v>
      </c>
      <c r="AG31" s="1129">
        <f t="shared" si="21"/>
        <v>0</v>
      </c>
      <c r="AH31" s="1127">
        <f t="shared" si="21"/>
        <v>0</v>
      </c>
      <c r="AI31" s="1117">
        <f t="shared" si="21"/>
        <v>1300</v>
      </c>
      <c r="AJ31" s="1117">
        <f t="shared" si="21"/>
        <v>0</v>
      </c>
      <c r="AK31" s="1127">
        <f t="shared" si="21"/>
        <v>0</v>
      </c>
      <c r="AL31" s="1183">
        <f>IF(ISNUMBER(NºAsuntos!G31/NºAsuntos!E31),NºAsuntos!G31/NºAsuntos!E31," - ")</f>
        <v>1.0334463276836159</v>
      </c>
      <c r="AM31" s="1184">
        <f>IF(ISNUMBER(((NºAsuntos!I31/NºAsuntos!G31)*11)/factor_trimestre),((NºAsuntos!I31/NºAsuntos!G31)*11)/factor_trimestre," - ")</f>
        <v>3.8685764268532687</v>
      </c>
      <c r="AN31" s="1184">
        <f>IF(ISNUMBER('Resol  Asuntos'!D31/NºAsuntos!G31),'Resol  Asuntos'!D31/NºAsuntos!G31," - ")</f>
        <v>0.23113929586704571</v>
      </c>
      <c r="AO31" s="1185">
        <f>IF(ISNUMBER((NºAsuntos!C31+NºAsuntos!E31)/NºAsuntos!G31),(NºAsuntos!C31+NºAsuntos!E31)/NºAsuntos!G31," - ")</f>
        <v>2.2871200524819595</v>
      </c>
      <c r="AP31" s="1186" t="str">
        <f t="shared" si="2"/>
        <v xml:space="preserve"> - </v>
      </c>
      <c r="AQ31" s="1187">
        <f>IF(OR(ISNUMBER(FIND("01",Criterios!A8,1)),ISNUMBER(FIND("02",Criterios!A8,1)),ISNUMBER(FIND("03",Criterios!A8,1)),ISNUMBER(FIND("04",Criterios!A8,1))),(I31-W31+K31)/(F31-K31),(H31-W31+K31)/(F31-K31))</f>
        <v>-0.99639963996399639</v>
      </c>
      <c r="AR31" s="1188">
        <f>IF(ISNUMBER((Datos!P31-Datos!Q31)/(Datos!R31-Datos!P31+Datos!Q31)),(Datos!P31-Datos!Q31)/(Datos!R31-Datos!P31+Datos!Q31)," - ")</f>
        <v>5.9532050394572895E-3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610.75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2.3295709014312749</v>
      </c>
      <c r="F33" s="276">
        <f>IF(ISNUMBER(STDEV(F8:F30)),STDEV(F8:F30),"-")</f>
        <v>892.2539676892128</v>
      </c>
      <c r="G33" s="277">
        <f>IF(ISNUMBER(STDEV(G8:G30)),STDEV(G8:G30),"-")</f>
        <v>894.66334450451245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853.10508480156511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267.41924864424874</v>
      </c>
      <c r="AJ33" s="276">
        <f t="shared" si="25"/>
        <v>0</v>
      </c>
      <c r="AK33" s="278">
        <f t="shared" si="25"/>
        <v>0</v>
      </c>
      <c r="AL33" s="273">
        <f t="shared" si="25"/>
        <v>0.17382262292437362</v>
      </c>
      <c r="AM33" s="274">
        <f t="shared" si="25"/>
        <v>2.7471819816679512</v>
      </c>
      <c r="AN33" s="274">
        <f t="shared" si="25"/>
        <v>0.19902470579579246</v>
      </c>
      <c r="AO33" s="275">
        <f t="shared" si="25"/>
        <v>0.91689643407434596</v>
      </c>
      <c r="AP33" s="317" t="str">
        <f t="shared" si="25"/>
        <v>-</v>
      </c>
      <c r="AQ33" s="318">
        <f t="shared" si="25"/>
        <v>0.52342591458017473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5q7IuvM2+RVrtXw01rok+sqGMUVtmbdk/CmF+UPS8/sRJi8Dmrs31eumElTFv6wWP56BRePl23LDoRi2djM6w==" saltValue="R67VCP5RFvZtaubTjUHR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LOGROÑO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8.3003952569169967E-2</v>
      </c>
      <c r="I9" s="395">
        <f>IF(ISNUMBER((Tasas!C9-Datos!BE9)/Datos!BE9),(Tasas!C9-Datos!BE9)/Datos!BE9," - ")</f>
        <v>0.12278737264151786</v>
      </c>
      <c r="J9" s="394">
        <f>IF(ISNUMBER((Tasas!D9-Datos!BF9)/Datos!BF9),(Tasas!D9-Datos!BF9)/Datos!BF9," - ")</f>
        <v>-0.2108939859760908</v>
      </c>
      <c r="K9" s="396">
        <f>IF(ISNUMBER((Tasas!E9-Datos!BG9)/Datos!BG9),(Tasas!E9-Datos!BG9)/Datos!BG9," - ")</f>
        <v>6.9831300278454758E-2</v>
      </c>
      <c r="M9" t="e">
        <f>IF(Monitorios="SI",Datos!CE9,0)</f>
        <v>#REF!</v>
      </c>
      <c r="N9" t="e">
        <f>IF(Monitorios="SI",Datos!CF9,0)</f>
        <v>#REF!</v>
      </c>
      <c r="O9" t="e">
        <f>IF(Monitorios="SI",Datos!CG9,0)</f>
        <v>#REF!</v>
      </c>
      <c r="P9" t="e">
        <f>IF(Monitorios="SI",Datos!CH9,0)</f>
        <v>#REF!</v>
      </c>
      <c r="Q9">
        <f>IF(J_V="SI",0,Datos!AG9)</f>
        <v>52</v>
      </c>
      <c r="R9">
        <f>IF(J_V="SI",0,Datos!AH9)</f>
        <v>129</v>
      </c>
      <c r="S9">
        <f>IF(J_V="SI",0,Datos!AI9)</f>
        <v>126</v>
      </c>
      <c r="T9">
        <f>IF(J_V="SI",0,Datos!AJ9)</f>
        <v>55</v>
      </c>
    </row>
    <row r="10" spans="2:20" ht="14.25">
      <c r="B10" s="300" t="s">
        <v>317</v>
      </c>
      <c r="C10" s="7" t="str">
        <f>Datos!A10</f>
        <v>Jdos. Violencia contra la mujer</v>
      </c>
      <c r="D10" s="397">
        <f>IF(ISNUMBER((Datos!I10-Datos!S10)/Datos!S10),(Datos!I10-Datos!S10)/Datos!S10," - ")</f>
        <v>-2.8571428571428571E-2</v>
      </c>
      <c r="E10" s="393">
        <f>IF(ISNUMBER((Datos!J10-Datos!T10)/Datos!T10),(Datos!J10-Datos!T10)/Datos!T10," - ")</f>
        <v>0.375</v>
      </c>
      <c r="F10" s="393">
        <f>IF(ISNUMBER((Datos!K10-Datos!U10)/Datos!U10),(Datos!K10-Datos!U10)/Datos!U10," - ")</f>
        <v>-0.24074074074074073</v>
      </c>
      <c r="G10" s="394">
        <f>IF(ISNUMBER((Datos!L10-Datos!V10)/Datos!V10),(Datos!L10-Datos!V10)/Datos!V10," - ")</f>
        <v>0.19047619047619047</v>
      </c>
      <c r="H10" s="244">
        <f>IF(ISNUMBER((Datos!M10-Datos!W10)/Datos!W10),(Datos!M10-Datos!W10)/Datos!W10," - ")</f>
        <v>0.2</v>
      </c>
      <c r="I10" s="395">
        <f>IF(ISNUMBER((Tasas!C10-Datos!BE10)/Datos!BE10),(Tasas!C10-Datos!BE10)/Datos!BE10," - ")</f>
        <v>0.56794425087108014</v>
      </c>
      <c r="J10" s="394">
        <f>IF(ISNUMBER((Tasas!D10-Datos!BF10)/Datos!BF10),(Tasas!D10-Datos!BF10)/Datos!BF10," - ")</f>
        <v>0.58048780487804874</v>
      </c>
      <c r="K10" s="396">
        <f>IF(ISNUMBER((Tasas!E10-Datos!BG10)/Datos!BG10),(Tasas!E10-Datos!BG10)/Datos!BG10," - ")</f>
        <v>0.39756097560975595</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-0.3045977011494253</v>
      </c>
      <c r="I11" s="395">
        <f>IF(ISNUMBER((Tasas!C11-Datos!BE11)/Datos!BE11),(Tasas!C11-Datos!BE11)/Datos!BE11," - ")</f>
        <v>-4.0015795708832354E-2</v>
      </c>
      <c r="J11" s="394">
        <f>IF(ISNUMBER((Tasas!D11-Datos!BF11)/Datos!BF11),(Tasas!D11-Datos!BF11)/Datos!BF11," - ")</f>
        <v>-0.39484718363223037</v>
      </c>
      <c r="K11" s="396">
        <f>IF(ISNUMBER((Tasas!E11-Datos!BG11)/Datos!BG11),(Tasas!E11-Datos!BG11)/Datos!BG11," - ")</f>
        <v>-0.15102615093182836</v>
      </c>
      <c r="M11" t="e">
        <f>IF(Monitorios="SI",Datos!CE11,0)</f>
        <v>#REF!</v>
      </c>
      <c r="N11" t="e">
        <f>IF(Monitorios="SI",Datos!CF11,0)</f>
        <v>#REF!</v>
      </c>
      <c r="O11" t="e">
        <f>IF(Monitorios="SI",Datos!CG11,0)</f>
        <v>#REF!</v>
      </c>
      <c r="P11" t="e">
        <f>IF(Monitorios="SI",Datos!CH11,0)</f>
        <v>#REF!</v>
      </c>
      <c r="Q11">
        <f>IF(J_V="SI",0,Datos!AG11)</f>
        <v>123</v>
      </c>
      <c r="R11">
        <f>IF(J_V="SI",0,Datos!AH11)</f>
        <v>118</v>
      </c>
      <c r="S11">
        <f>IF(J_V="SI",0,Datos!AI11)</f>
        <v>117</v>
      </c>
      <c r="T11">
        <f>IF(J_V="SI",0,Datos!AJ11)</f>
        <v>67</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-8.5106382978723406E-3</v>
      </c>
      <c r="I14" s="402">
        <f>IF(ISNUMBER((Tasas!C14-Datos!BE14)/Datos!BE14),(Tasas!C14-Datos!BE14)/Datos!BE14," - ")</f>
        <v>0.10119218796323756</v>
      </c>
      <c r="J14" s="400">
        <f>IF(ISNUMBER((Tasas!D14-Datos!BF14)/Datos!BF14),(Tasas!D14-Datos!BF14)/Datos!BF14," - ")</f>
        <v>-0.23250407166123771</v>
      </c>
      <c r="K14" s="403">
        <f>IF(ISNUMBER((Tasas!E14-Datos!BG14)/Datos!BG14),(Tasas!E14-Datos!BG14)/Datos!BG14," - ")</f>
        <v>3.1461412495801026E-2</v>
      </c>
      <c r="M14" t="e">
        <f>IF(Monitorios="SI",Datos!CE14,0)</f>
        <v>#REF!</v>
      </c>
      <c r="N14" t="e">
        <f>IF(Monitorios="SI",Datos!CF14,0)</f>
        <v>#REF!</v>
      </c>
      <c r="O14" t="e">
        <f>IF(Monitorios="SI",Datos!CG14,0)</f>
        <v>#REF!</v>
      </c>
      <c r="P14" t="e">
        <f>IF(Monitorios="SI",Datos!CH14,0)</f>
        <v>#REF!</v>
      </c>
      <c r="Q14">
        <f>IF(J_V="SI",0,Datos!AG14)</f>
        <v>175</v>
      </c>
      <c r="R14">
        <f>IF(J_V="SI",0,Datos!AH14)</f>
        <v>247</v>
      </c>
      <c r="S14">
        <f>IF(J_V="SI",0,Datos!AI14)</f>
        <v>243</v>
      </c>
      <c r="T14">
        <f>IF(J_V="SI",0,Datos!AJ14)</f>
        <v>122</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0.24079320113314448</v>
      </c>
      <c r="E16" s="393">
        <f>IF(ISNUMBER(
   IF(D_I="SI",(Datos!J16-Datos!T16)/Datos!T16,(Datos!J16+Datos!AD16-(Datos!T16+Datos!AL16))/(Datos!T16+Datos!AL16))
     ),IF(D_I="SI",(Datos!J16-Datos!T16)/Datos!T16,(Datos!J16+Datos!AD16-(Datos!T16+Datos!AL16))/(Datos!T16+Datos!AL16))," - ")</f>
        <v>8.0741230972865646E-2</v>
      </c>
      <c r="F16" s="393">
        <f>IF(ISNUMBER(
   IF(D_I="SI",(Datos!K16-Datos!U16)/Datos!U16,(Datos!K16+Datos!AE16-(Datos!U16+Datos!AM16))/(Datos!U16+Datos!AM16))
     ),IF(D_I="SI",(Datos!K16-Datos!U16)/Datos!U16,(Datos!K16+Datos!AE16-(Datos!U16+Datos!AM16))/(Datos!U16+Datos!AM16))," - ")</f>
        <v>3.1545741324921134E-2</v>
      </c>
      <c r="G16" s="394">
        <f>IF(ISNUMBER(
   IF(D_I="SI",(Datos!L16-Datos!V16)/Datos!V16,(Datos!L16+Datos!AF16-(Datos!V16+Datos!AN16))/(Datos!V16+Datos!AN16))
     ),IF(D_I="SI",(Datos!L16-Datos!V16)/Datos!V16,(Datos!L16+Datos!AF16-(Datos!V16+Datos!AN16))/(Datos!V16+Datos!AN16))," - ")</f>
        <v>0.30757800891530462</v>
      </c>
      <c r="H16" s="244">
        <f>IF(ISNUMBER((Datos!M16-Datos!W16)/Datos!W16),(Datos!M16-Datos!W16)/Datos!W16," - ")</f>
        <v>-1.5290519877675841E-2</v>
      </c>
      <c r="I16" s="395">
        <f>IF(ISNUMBER((Tasas!C16-Datos!BE16)/Datos!BE16),(Tasas!C16-Datos!BE16)/Datos!BE16," - ")</f>
        <v>0.26759091384144201</v>
      </c>
      <c r="J16" s="394">
        <f>IF(ISNUMBER((Tasas!D16-Datos!BF16)/Datos!BF16),(Tasas!D16-Datos!BF16)/Datos!BF16," - ")</f>
        <v>-4.5403959636768361E-2</v>
      </c>
      <c r="K16" s="396">
        <f>IF(ISNUMBER((Tasas!E16-Datos!BG16)/Datos!BG16),(Tasas!E16-Datos!BG16)/Datos!BG16," - ")</f>
        <v>0.12264221020463043</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-0.14126394052044611</v>
      </c>
      <c r="E18" s="393">
        <f>IF(ISNUMBER(
   IF(D_I="SI",(Datos!J18-Datos!T18)/Datos!T18,(Datos!J18+Datos!AD18-(Datos!T18+Datos!AL18))/(Datos!T18+Datos!AL18))
     ),IF(D_I="SI",(Datos!J18-Datos!T18)/Datos!T18,(Datos!J18+Datos!AD18-(Datos!T18+Datos!AL18))/(Datos!T18+Datos!AL18))," - ")</f>
        <v>0.18229166666666666</v>
      </c>
      <c r="F18" s="393">
        <f>IF(ISNUMBER(
   IF(D_I="SI",(Datos!K18-Datos!U18)/Datos!U18,(Datos!K18+Datos!AE18-(Datos!U18+Datos!AM18))/(Datos!U18+Datos!AM18))
     ),IF(D_I="SI",(Datos!K18-Datos!U18)/Datos!U18,(Datos!K18+Datos!AE18-(Datos!U18+Datos!AM18))/(Datos!U18+Datos!AM18))," - ")</f>
        <v>-4.8387096774193547E-2</v>
      </c>
      <c r="G18" s="394">
        <f>IF(ISNUMBER(
   IF(D_I="SI",(Datos!L18-Datos!V18)/Datos!V18,(Datos!L18+Datos!AF18-(Datos!V18+Datos!AN18))/(Datos!V18+Datos!AN18))
     ),IF(D_I="SI",(Datos!L18-Datos!V18)/Datos!V18,(Datos!L18+Datos!AF18-(Datos!V18+Datos!AN18))/(Datos!V18+Datos!AN18))," - ")</f>
        <v>4.6948356807511735E-2</v>
      </c>
      <c r="H18" s="244">
        <f>IF(ISNUMBER((Datos!M18-Datos!W18)/Datos!W18),(Datos!M18-Datos!W18)/Datos!W18," - ")</f>
        <v>0.2857142857142857</v>
      </c>
      <c r="I18" s="395">
        <f>IF(ISNUMBER((Tasas!C18-Datos!BE18)/Datos!BE18),(Tasas!C18-Datos!BE18)/Datos!BE18," - ")</f>
        <v>0.1001830190180632</v>
      </c>
      <c r="J18" s="394">
        <f>IF(ISNUMBER((Tasas!D18-Datos!BF18)/Datos!BF18),(Tasas!D18-Datos!BF18)/Datos!BF18," - ")</f>
        <v>0.35108958837772408</v>
      </c>
      <c r="K18" s="396">
        <f>IF(ISNUMBER((Tasas!E18-Datos!BG18)/Datos!BG18),(Tasas!E18-Datos!BG18)/Datos!BG18," - ")</f>
        <v>4.4008970918048416E-2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f>IF(ISNUMBER((Datos!I20-Datos!S20)/Datos!S20),(Datos!I20-Datos!S20)/Datos!S20," - ")</f>
        <v>0.42731277533039647</v>
      </c>
      <c r="E20" s="393">
        <f>IF(ISNUMBER((Datos!J20-Datos!T20)/Datos!T20),(Datos!J20-Datos!T20)/Datos!T20," - ")</f>
        <v>-9.8765432098765427E-2</v>
      </c>
      <c r="F20" s="393">
        <f>IF(ISNUMBER((Datos!K20-Datos!U20)/Datos!U20),(Datos!K20-Datos!U20)/Datos!U20," - ")</f>
        <v>0.1796875</v>
      </c>
      <c r="G20" s="394">
        <f>IF(ISNUMBER((Datos!L20-Datos!V20)/Datos!V20),(Datos!L20-Datos!V20)/Datos!V20," - ")</f>
        <v>0.12616822429906541</v>
      </c>
      <c r="H20" s="244" t="str">
        <f>IF(ISNUMBER((Datos!M20-Datos!W20)/Datos!W20),(Datos!M20-Datos!W20)/Datos!W20," - ")</f>
        <v xml:space="preserve"> - </v>
      </c>
      <c r="I20" s="395">
        <f>IF(ISNUMBER((Tasas!C20-Datos!BE20)/Datos!BE20),(Tasas!C20-Datos!BE20)/Datos!BE20," - ")</f>
        <v>-4.5367333044500871E-2</v>
      </c>
      <c r="J20" s="394" t="str">
        <f>IF(ISNUMBER((Tasas!D20-Datos!BF20)/Datos!BF20),(Tasas!D20-Datos!BF20)/Datos!BF20," - ")</f>
        <v xml:space="preserve"> - </v>
      </c>
      <c r="K20" s="396">
        <f>IF(ISNUMBER((Tasas!E20-Datos!BG20)/Datos!BG20),(Tasas!E20-Datos!BG20)/Datos!BG20," - ")</f>
        <v>-2.0656615471325929E-2</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0.20911949685534592</v>
      </c>
      <c r="E23" s="399">
        <f>IF(ISNUMBER(
   IF(D_I="SI",(Datos!J23-Datos!T23)/Datos!T23,(Datos!J23+Datos!AD23-(Datos!T23+Datos!AL23))/(Datos!T23+Datos!AL23))
     ),IF(D_I="SI",(Datos!J23-Datos!T23)/Datos!T23,(Datos!J23+Datos!AD23-(Datos!T23+Datos!AL23))/(Datos!T23+Datos!AL23))," - ")</f>
        <v>6.83453237410072E-2</v>
      </c>
      <c r="F23" s="399">
        <f>IF(ISNUMBER(
   IF(D_I="SI",(Datos!K23-Datos!U23)/Datos!U23,(Datos!K23+Datos!AE23-(Datos!U23+Datos!AM23))/(Datos!U23+Datos!AM23))
     ),IF(D_I="SI",(Datos!K23-Datos!U23)/Datos!U23,(Datos!K23+Datos!AE23-(Datos!U23+Datos!AM23))/(Datos!U23+Datos!AM23))," - ")</f>
        <v>4.0210627094303494E-2</v>
      </c>
      <c r="G23" s="400">
        <f>IF(ISNUMBER(
   IF(D_I="SI",(Datos!L23-Datos!V23)/Datos!V23,(Datos!L23+Datos!AF23-(Datos!V23+Datos!AN23))/(Datos!V23+Datos!AN23))
     ),IF(D_I="SI",(Datos!L23-Datos!V23)/Datos!V23,(Datos!L23+Datos!AF23-(Datos!V23+Datos!AN23))/(Datos!V23+Datos!AN23))," - ")</f>
        <v>0.25437112239142695</v>
      </c>
      <c r="H23" s="401">
        <f>IF(ISNUMBER((Datos!M23-Datos!W23)/Datos!W23),(Datos!M23-Datos!W23)/Datos!W23," - ")</f>
        <v>8.4507042253521118E-3</v>
      </c>
      <c r="I23" s="402">
        <f>IF(ISNUMBER((Tasas!C23-Datos!BE23)/Datos!BE23),(Tasas!C23-Datos!BE23)/Datos!BE23," - ")</f>
        <v>0.20588185673064474</v>
      </c>
      <c r="J23" s="400">
        <f>IF(ISNUMBER((Tasas!D23-Datos!BF23)/Datos!BF23),(Tasas!D23-Datos!BF23)/Datos!BF23," - ")</f>
        <v>-3.053220380728924E-2</v>
      </c>
      <c r="K23" s="403">
        <f>IF(ISNUMBER((Tasas!E23-Datos!BG23)/Datos!BG23),(Tasas!E23-Datos!BG23)/Datos!BG23," - ")</f>
        <v>9.4046121062594953E-2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6.7020335985853233E-2</v>
      </c>
      <c r="E31" s="409">
        <f>IF(ISNUMBER(
   IF(J_V="SI",(Datos!J31-Datos!T31)/Datos!T31,(Datos!J31+Datos!Z31-(Datos!T31+Datos!AH31))/(Datos!T31+Datos!AH31))
     ),IF(J_V="SI",(Datos!J31-Datos!T31)/Datos!T31,(Datos!J31+Datos!Z31-(Datos!T31+Datos!AH31))/(Datos!T31+Datos!AH31))," - ")</f>
        <v>6.5494823019503975E-2</v>
      </c>
      <c r="F31" s="409">
        <f>IF(ISNUMBER(
   IF(J_V="SI",(Datos!K31-Datos!U31)/Datos!U31,(Datos!K31+Datos!AA31-(Datos!U31+Datos!AI31))/(Datos!U31+Datos!AI31))
     ),IF(J_V="SI",(Datos!K31-Datos!U31)/Datos!U31,(Datos!K31+Datos!AA31-(Datos!U31+Datos!AI31))/(Datos!U31+Datos!AI31))," - ")</f>
        <v>1.2621789193976971E-2</v>
      </c>
      <c r="G31" s="410">
        <f>IF(ISNUMBER(
   IF(J_V="SI",(Datos!L31-Datos!V31)/Datos!V31,(Datos!L31+Datos!AB31-(Datos!V31+Datos!AJ31))/(Datos!V31+Datos!AJ31))
     ),IF(J_V="SI",(Datos!L31-Datos!V31)/Datos!V31,(Datos!L31+Datos!AB31-(Datos!V31+Datos!AJ31))/(Datos!V31+Datos!AJ31))," - ")</f>
        <v>0.14593859308200544</v>
      </c>
      <c r="H31" s="411">
        <f>IF(ISNUMBER((Datos!M31-Datos!W31)/Datos!W31),(Datos!M31-Datos!W31)/Datos!W31," - ")</f>
        <v>-2.8301886792452828E-3</v>
      </c>
      <c r="I31" s="408">
        <f>IF(ISNUMBER((Tasas!C31-Datos!BE31)/Datos!BE31),(Tasas!C31-Datos!BE31)/Datos!BE31," - ")</f>
        <v>0.13165508120672118</v>
      </c>
      <c r="J31" s="409">
        <f>IF(ISNUMBER((Tasas!D31-Datos!BF31)/Datos!BF31),(Tasas!D31-Datos!BF31)/Datos!BF31," - ")</f>
        <v>-0.1819552820254087</v>
      </c>
      <c r="K31" s="410">
        <f>IF(ISNUMBER((Tasas!E31-Datos!BG31)/Datos!BG31),(Tasas!E31-Datos!BG31)/Datos!BG31," - ")</f>
        <v>5.3082601652582426E-2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0.22638474614462301</v>
      </c>
      <c r="E33" s="303">
        <f t="shared" si="1"/>
        <v>0.17389755003326537</v>
      </c>
      <c r="F33" s="303">
        <f t="shared" si="1"/>
        <v>0.15403978793203107</v>
      </c>
      <c r="G33" s="304">
        <f t="shared" si="1"/>
        <v>0.10294061982781774</v>
      </c>
      <c r="H33" s="310">
        <f t="shared" si="1"/>
        <v>0.18834311676050147</v>
      </c>
      <c r="I33" s="302">
        <f t="shared" si="1"/>
        <v>0.1966515141534812</v>
      </c>
      <c r="J33" s="303">
        <f t="shared" si="1"/>
        <v>0.34583695804368331</v>
      </c>
      <c r="K33" s="304">
        <f t="shared" si="1"/>
        <v>0.15573810311804046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UHgqCLzoxave55LEPFEdZwPnFg1yBkPtXOtQghI+OLpttk+Px62Z5/o4cEzVSg4TtORcgUTnYtbZfenpEEbxw==" saltValue="vXelHG0LNNsiVVSorqhA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